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1352" windowHeight="5640" activeTab="7"/>
  </bookViews>
  <sheets>
    <sheet name="Default Factors" sheetId="1" r:id="rId1"/>
    <sheet name="Alder" sheetId="2" r:id="rId2"/>
    <sheet name="Maple" sheetId="3" r:id="rId3"/>
    <sheet name="Hemlock" sheetId="4" r:id="rId4"/>
    <sheet name="Doug-fir" sheetId="5" r:id="rId5"/>
    <sheet name="White Fir" sheetId="6" r:id="rId6"/>
    <sheet name="ESLP" sheetId="7" r:id="rId7"/>
    <sheet name="Pine" sheetId="8" r:id="rId8"/>
    <sheet name="Comparisons" sheetId="9" r:id="rId9"/>
    <sheet name="Facilities" sheetId="10" r:id="rId10"/>
    <sheet name="Updates" sheetId="11" r:id="rId11"/>
    <sheet name="Sheet1" sheetId="12" r:id="rId12"/>
    <sheet name="Slide 1" sheetId="13" r:id="rId13"/>
    <sheet name="Slide 2" sheetId="14" r:id="rId14"/>
  </sheets>
  <externalReferences>
    <externalReference r:id="rId17"/>
  </externalReferences>
  <definedNames>
    <definedName name="_xlnm.Print_Area" localSheetId="1">'Alder'!$A$1:$F$25</definedName>
    <definedName name="_xlnm.Print_Area" localSheetId="8">'Comparisons'!$A$31:$G$42</definedName>
    <definedName name="_xlnm.Print_Area" localSheetId="0">'Default Factors'!$A$1:$K$47</definedName>
    <definedName name="_xlnm.Print_Area" localSheetId="4">'Doug-fir'!$A$4:$N$40</definedName>
    <definedName name="_xlnm.Print_Area" localSheetId="9">'Facilities'!$A$26:$D$45</definedName>
    <definedName name="_xlnm.Print_Area" localSheetId="3">'Hemlock'!$A$4:$N$35</definedName>
    <definedName name="_xlnm.Print_Area" localSheetId="11">'Sheet1'!$A$1:$N$23</definedName>
    <definedName name="_xlnm.Print_Area" localSheetId="5">'White Fir'!$A$3:$N$16</definedName>
  </definedNames>
  <calcPr fullCalcOnLoad="1"/>
</workbook>
</file>

<file path=xl/comments1.xml><?xml version="1.0" encoding="utf-8"?>
<comments xmlns="http://schemas.openxmlformats.org/spreadsheetml/2006/main">
  <authors>
    <author>Clint Lamoreaux</author>
  </authors>
  <commentList>
    <comment ref="N6" authorId="0">
      <text>
        <r>
          <rPr>
            <b/>
            <sz val="9"/>
            <rFont val="Tahoma"/>
            <family val="2"/>
          </rPr>
          <t>Clint Lamoreaux:</t>
        </r>
        <r>
          <rPr>
            <sz val="9"/>
            <rFont val="Tahoma"/>
            <family val="2"/>
          </rPr>
          <t xml:space="preserve">
Not a TAP or HAP, but could be a large component that would be important to quantify to determine average molecular weight.  All monoturpenes (C10H16), MW=136.23</t>
        </r>
      </text>
    </comment>
    <comment ref="C8" authorId="0">
      <text>
        <r>
          <rPr>
            <b/>
            <sz val="9"/>
            <rFont val="Tahoma"/>
            <family val="2"/>
          </rPr>
          <t>Clint Lamoreaux:</t>
        </r>
        <r>
          <rPr>
            <sz val="9"/>
            <rFont val="Tahoma"/>
            <family val="2"/>
          </rPr>
          <t xml:space="preserve">
November 16-20, 1998 source evaluation report by Horizon Engineering for Willamette Industries, Inc. at OSU</t>
        </r>
      </text>
    </comment>
    <comment ref="C12" authorId="0">
      <text>
        <r>
          <rPr>
            <b/>
            <sz val="9"/>
            <rFont val="Tahoma"/>
            <family val="2"/>
          </rPr>
          <t>Clint Lamoreaux:</t>
        </r>
        <r>
          <rPr>
            <sz val="9"/>
            <rFont val="Tahoma"/>
            <family val="2"/>
          </rPr>
          <t xml:space="preserve">
November 14-19, 1998 source evaluation report by Horizon Engineering for Willamette Industries, Inc. at OSU</t>
        </r>
      </text>
    </comment>
    <comment ref="E43" authorId="0">
      <text>
        <r>
          <rPr>
            <b/>
            <sz val="9"/>
            <rFont val="Tahoma"/>
            <family val="2"/>
          </rPr>
          <t>Clint Lamoreaux:</t>
        </r>
        <r>
          <rPr>
            <sz val="9"/>
            <rFont val="Tahoma"/>
            <family val="2"/>
          </rPr>
          <t xml:space="preserve">
JUM Technical Information includes values of 0.58 and 0.55 for model VE-7,
Victor Dallons (Weyco) suggested 1.3, NCASI measured 1.2 (TECHNICAL BULLETIN NO. 921)
</t>
        </r>
      </text>
    </comment>
  </commentList>
</comments>
</file>

<file path=xl/comments10.xml><?xml version="1.0" encoding="utf-8"?>
<comments xmlns="http://schemas.openxmlformats.org/spreadsheetml/2006/main">
  <authors>
    <author>Clint Lamoreaux</author>
    <author>Gateway_User</author>
  </authors>
  <commentList>
    <comment ref="D7" authorId="0">
      <text>
        <r>
          <rPr>
            <b/>
            <sz val="9"/>
            <rFont val="Tahoma"/>
            <family val="2"/>
          </rPr>
          <t>Clint Lamoreaux:</t>
        </r>
        <r>
          <rPr>
            <sz val="9"/>
            <rFont val="Tahoma"/>
            <family val="2"/>
          </rPr>
          <t xml:space="preserve">
No permit </t>
        </r>
      </text>
    </comment>
    <comment ref="F7" authorId="0">
      <text>
        <r>
          <rPr>
            <b/>
            <sz val="9"/>
            <rFont val="Tahoma"/>
            <family val="2"/>
          </rPr>
          <t>Clint Lamoreaux:</t>
        </r>
        <r>
          <rPr>
            <sz val="9"/>
            <rFont val="Tahoma"/>
            <family val="2"/>
          </rPr>
          <t xml:space="preserve">
described as "hardwoods"</t>
        </r>
      </text>
    </comment>
    <comment ref="C11" authorId="0">
      <text>
        <r>
          <rPr>
            <b/>
            <sz val="9"/>
            <rFont val="Tahoma"/>
            <family val="2"/>
          </rPr>
          <t>Clint Lamoreaux:</t>
        </r>
        <r>
          <rPr>
            <sz val="9"/>
            <rFont val="Tahoma"/>
            <family val="2"/>
          </rPr>
          <t xml:space="preserve">
3 kilns were permitted in early 1980's no specification appear to be in the file</t>
        </r>
      </text>
    </comment>
    <comment ref="C16" authorId="0">
      <text>
        <r>
          <rPr>
            <b/>
            <sz val="9"/>
            <rFont val="Tahoma"/>
            <family val="2"/>
          </rPr>
          <t>Clint Lamoreaux:</t>
        </r>
        <r>
          <rPr>
            <sz val="9"/>
            <rFont val="Tahoma"/>
            <family val="2"/>
          </rPr>
          <t xml:space="preserve">
described as 6 kilns ~230 Mbf each</t>
        </r>
      </text>
    </comment>
    <comment ref="D21" authorId="1">
      <text>
        <r>
          <rPr>
            <b/>
            <sz val="8"/>
            <rFont val="Tahoma"/>
            <family val="2"/>
          </rPr>
          <t>Gateway_User:</t>
        </r>
        <r>
          <rPr>
            <sz val="8"/>
            <rFont val="Tahoma"/>
            <family val="2"/>
          </rPr>
          <t xml:space="preserve">
From emission calc's in 
TSD for ADP 98-2133R2</t>
        </r>
      </text>
    </comment>
    <comment ref="E47" authorId="0">
      <text>
        <r>
          <rPr>
            <b/>
            <sz val="9"/>
            <rFont val="Tahoma"/>
            <family val="2"/>
          </rPr>
          <t>Clint Lamoreaux:</t>
        </r>
        <r>
          <rPr>
            <sz val="9"/>
            <rFont val="Tahoma"/>
            <family val="2"/>
          </rPr>
          <t xml:space="preserve">
Method CI//WP-98.01 (NCASI, 1998)</t>
        </r>
      </text>
    </comment>
    <comment ref="F47" authorId="0">
      <text>
        <r>
          <rPr>
            <b/>
            <sz val="9"/>
            <rFont val="Tahoma"/>
            <family val="2"/>
          </rPr>
          <t>Clint Lamoreaux:</t>
        </r>
        <r>
          <rPr>
            <sz val="9"/>
            <rFont val="Tahoma"/>
            <family val="2"/>
          </rPr>
          <t xml:space="preserve">
Method CI//WP-98.01 (NCASI, 1998)</t>
        </r>
      </text>
    </comment>
    <comment ref="AG4" authorId="0">
      <text>
        <r>
          <rPr>
            <b/>
            <sz val="9"/>
            <rFont val="Tahoma"/>
            <family val="2"/>
          </rPr>
          <t>Clint Lamoreaux:</t>
        </r>
        <r>
          <rPr>
            <sz val="9"/>
            <rFont val="Tahoma"/>
            <family val="2"/>
          </rPr>
          <t xml:space="preserve">
Method CI//WP-98.01 (NCASI, 1998)</t>
        </r>
      </text>
    </comment>
    <comment ref="AH4" authorId="0">
      <text>
        <r>
          <rPr>
            <b/>
            <sz val="9"/>
            <rFont val="Tahoma"/>
            <family val="2"/>
          </rPr>
          <t>Clint Lamoreaux:</t>
        </r>
        <r>
          <rPr>
            <sz val="9"/>
            <rFont val="Tahoma"/>
            <family val="2"/>
          </rPr>
          <t xml:space="preserve">
Method CI//WP-98.01 (NCASI, 1998)</t>
        </r>
      </text>
    </comment>
    <comment ref="AG15" authorId="0">
      <text>
        <r>
          <rPr>
            <b/>
            <sz val="9"/>
            <rFont val="Tahoma"/>
            <family val="2"/>
          </rPr>
          <t>Clint Lamoreaux:</t>
        </r>
        <r>
          <rPr>
            <sz val="9"/>
            <rFont val="Tahoma"/>
            <family val="2"/>
          </rPr>
          <t xml:space="preserve">
Method CI//WP-98.01 (NCASI, 1998)</t>
        </r>
      </text>
    </comment>
    <comment ref="AH15" authorId="0">
      <text>
        <r>
          <rPr>
            <b/>
            <sz val="9"/>
            <rFont val="Tahoma"/>
            <family val="2"/>
          </rPr>
          <t>Clint Lamoreaux:</t>
        </r>
        <r>
          <rPr>
            <sz val="9"/>
            <rFont val="Tahoma"/>
            <family val="2"/>
          </rPr>
          <t xml:space="preserve">
Method CI//WP-98.01 (NCASI, 1998)</t>
        </r>
      </text>
    </comment>
  </commentList>
</comments>
</file>

<file path=xl/comments12.xml><?xml version="1.0" encoding="utf-8"?>
<comments xmlns="http://schemas.openxmlformats.org/spreadsheetml/2006/main">
  <authors>
    <author>Clint Lamoreaux</author>
  </authors>
  <commentList>
    <comment ref="E4" authorId="0">
      <text>
        <r>
          <rPr>
            <b/>
            <sz val="9"/>
            <rFont val="Tahoma"/>
            <family val="2"/>
          </rPr>
          <t>Clint Lamoreaux:</t>
        </r>
        <r>
          <rPr>
            <sz val="9"/>
            <rFont val="Tahoma"/>
            <family val="2"/>
          </rPr>
          <t xml:space="preserve">
Method CI//WP-98.01 (NCASI, 1998)</t>
        </r>
      </text>
    </comment>
    <comment ref="G4" authorId="0">
      <text>
        <r>
          <rPr>
            <b/>
            <sz val="9"/>
            <rFont val="Tahoma"/>
            <family val="2"/>
          </rPr>
          <t>Clint Lamoreaux:</t>
        </r>
        <r>
          <rPr>
            <sz val="9"/>
            <rFont val="Tahoma"/>
            <family val="2"/>
          </rPr>
          <t xml:space="preserve">
Method CI//WP-98.01 (NCASI, 1998)</t>
        </r>
      </text>
    </comment>
    <comment ref="E15" authorId="0">
      <text>
        <r>
          <rPr>
            <b/>
            <sz val="9"/>
            <rFont val="Tahoma"/>
            <family val="2"/>
          </rPr>
          <t>Clint Lamoreaux:</t>
        </r>
        <r>
          <rPr>
            <sz val="9"/>
            <rFont val="Tahoma"/>
            <family val="2"/>
          </rPr>
          <t xml:space="preserve">
Method CI//WP-98.01 (NCASI, 1998)</t>
        </r>
      </text>
    </comment>
    <comment ref="G15" authorId="0">
      <text>
        <r>
          <rPr>
            <b/>
            <sz val="9"/>
            <rFont val="Tahoma"/>
            <family val="2"/>
          </rPr>
          <t>Clint Lamoreaux:</t>
        </r>
        <r>
          <rPr>
            <sz val="9"/>
            <rFont val="Tahoma"/>
            <family val="2"/>
          </rPr>
          <t xml:space="preserve">
Method CI//WP-98.01 (NCASI, 1998)</t>
        </r>
      </text>
    </comment>
  </commentList>
</comments>
</file>

<file path=xl/comments2.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24" authorId="0">
      <text>
        <r>
          <rPr>
            <b/>
            <sz val="9"/>
            <rFont val="Tahoma"/>
            <family val="2"/>
          </rPr>
          <t>Clint Lamoreaux:</t>
        </r>
        <r>
          <rPr>
            <sz val="9"/>
            <rFont val="Tahoma"/>
            <family val="2"/>
          </rPr>
          <t xml:space="preserve">
6-9 month storage in salt water</t>
        </r>
      </text>
    </comment>
    <comment ref="E25" authorId="0">
      <text>
        <r>
          <rPr>
            <b/>
            <sz val="9"/>
            <rFont val="Tahoma"/>
            <family val="2"/>
          </rPr>
          <t>Clint Lamoreaux:</t>
        </r>
        <r>
          <rPr>
            <sz val="9"/>
            <rFont val="Tahoma"/>
            <family val="2"/>
          </rPr>
          <t xml:space="preserve">
6 - 9 month storage in salt water</t>
        </r>
      </text>
    </comment>
    <comment ref="N9" authorId="0">
      <text>
        <r>
          <rPr>
            <b/>
            <sz val="9"/>
            <rFont val="Tahoma"/>
            <family val="2"/>
          </rPr>
          <t>Clint Lamoreaux:</t>
        </r>
        <r>
          <rPr>
            <sz val="9"/>
            <rFont val="Tahoma"/>
            <family val="2"/>
          </rPr>
          <t xml:space="preserve">
starting date</t>
        </r>
      </text>
    </comment>
    <comment ref="A9" authorId="0">
      <text>
        <r>
          <rPr>
            <b/>
            <sz val="9"/>
            <rFont val="Tahoma"/>
            <family val="2"/>
          </rPr>
          <t>Clint Lamoreaux:</t>
        </r>
        <r>
          <rPr>
            <sz val="9"/>
            <rFont val="Tahoma"/>
            <family val="2"/>
          </rPr>
          <t xml:space="preserve">
Data says 180 F, text incorrectly indicates 170 F</t>
        </r>
      </text>
    </comment>
    <comment ref="B18" authorId="0">
      <text>
        <r>
          <rPr>
            <b/>
            <sz val="9"/>
            <rFont val="Tahoma"/>
            <family val="2"/>
          </rPr>
          <t>Clint Lamoreaux:</t>
        </r>
        <r>
          <rPr>
            <sz val="9"/>
            <rFont val="Tahoma"/>
            <family val="2"/>
          </rPr>
          <t xml:space="preserve">
humidity was not controlled, leading to shorter drying times</t>
        </r>
      </text>
    </comment>
    <comment ref="B19" authorId="0">
      <text>
        <r>
          <rPr>
            <b/>
            <sz val="9"/>
            <rFont val="Tahoma"/>
            <family val="2"/>
          </rPr>
          <t>Clint Lamoreaux:</t>
        </r>
        <r>
          <rPr>
            <sz val="9"/>
            <rFont val="Tahoma"/>
            <family val="2"/>
          </rPr>
          <t xml:space="preserve">
humidity was not controlled, leading to shorter drying times</t>
        </r>
      </text>
    </comment>
    <comment ref="L18" authorId="0">
      <text>
        <r>
          <rPr>
            <b/>
            <sz val="9"/>
            <rFont val="Tahoma"/>
            <family val="2"/>
          </rPr>
          <t>Clint Lamoreaux:</t>
        </r>
        <r>
          <rPr>
            <sz val="9"/>
            <rFont val="Tahoma"/>
            <family val="2"/>
          </rPr>
          <t xml:space="preserve">
read from chart</t>
        </r>
      </text>
    </comment>
    <comment ref="L19" authorId="0">
      <text>
        <r>
          <rPr>
            <b/>
            <sz val="9"/>
            <rFont val="Tahoma"/>
            <family val="2"/>
          </rPr>
          <t>Clint Lamoreaux:</t>
        </r>
        <r>
          <rPr>
            <sz val="9"/>
            <rFont val="Tahoma"/>
            <family val="2"/>
          </rPr>
          <t xml:space="preserve">
read from chart
</t>
        </r>
      </text>
    </comment>
    <comment ref="M18" authorId="0">
      <text>
        <r>
          <rPr>
            <b/>
            <sz val="9"/>
            <rFont val="Tahoma"/>
            <family val="2"/>
          </rPr>
          <t>Clint Lamoreaux:</t>
        </r>
        <r>
          <rPr>
            <sz val="9"/>
            <rFont val="Tahoma"/>
            <family val="2"/>
          </rPr>
          <t xml:space="preserve">
dried to constant weight in kiln (would not be 0%)</t>
        </r>
      </text>
    </comment>
    <comment ref="C10" authorId="0">
      <text>
        <r>
          <rPr>
            <b/>
            <sz val="9"/>
            <rFont val="Tahoma"/>
            <family val="2"/>
          </rPr>
          <t>Clint Lamoreaux:</t>
        </r>
        <r>
          <rPr>
            <sz val="9"/>
            <rFont val="Tahoma"/>
            <family val="2"/>
          </rPr>
          <t xml:space="preserve">
1" x random width</t>
        </r>
      </text>
    </comment>
    <comment ref="O10" authorId="0">
      <text>
        <r>
          <rPr>
            <b/>
            <sz val="9"/>
            <rFont val="Tahoma"/>
            <family val="2"/>
          </rPr>
          <t>Clint Lamoreaux:</t>
        </r>
        <r>
          <rPr>
            <sz val="9"/>
            <rFont val="Tahoma"/>
            <family val="2"/>
          </rPr>
          <t xml:space="preserve">
delivery date</t>
        </r>
      </text>
    </comment>
    <comment ref="O11" authorId="0">
      <text>
        <r>
          <rPr>
            <b/>
            <sz val="9"/>
            <rFont val="Tahoma"/>
            <family val="2"/>
          </rPr>
          <t>Clint Lamoreaux:</t>
        </r>
        <r>
          <rPr>
            <sz val="9"/>
            <rFont val="Tahoma"/>
            <family val="2"/>
          </rPr>
          <t xml:space="preserve">
delivery date
</t>
        </r>
      </text>
    </comment>
    <comment ref="E20" authorId="0">
      <text>
        <r>
          <rPr>
            <b/>
            <sz val="9"/>
            <rFont val="Tahoma"/>
            <family val="2"/>
          </rPr>
          <t>Clint Lamoreaux:</t>
        </r>
        <r>
          <rPr>
            <sz val="9"/>
            <rFont val="Tahoma"/>
            <family val="2"/>
          </rPr>
          <t xml:space="preserve">
based on actual board feet not nominal
</t>
        </r>
      </text>
    </comment>
    <comment ref="D19" authorId="0">
      <text>
        <r>
          <rPr>
            <b/>
            <sz val="9"/>
            <rFont val="Tahoma"/>
            <family val="2"/>
          </rPr>
          <t>Clint Lamoreaux:</t>
        </r>
        <r>
          <rPr>
            <sz val="9"/>
            <rFont val="Tahoma"/>
            <family val="2"/>
          </rPr>
          <t xml:space="preserve">
wet moisture %?</t>
        </r>
      </text>
    </comment>
    <comment ref="D20" authorId="0">
      <text>
        <r>
          <rPr>
            <b/>
            <sz val="9"/>
            <rFont val="Tahoma"/>
            <family val="2"/>
          </rPr>
          <t>Clint Lamoreaux:</t>
        </r>
        <r>
          <rPr>
            <sz val="9"/>
            <rFont val="Tahoma"/>
            <family val="2"/>
          </rPr>
          <t xml:space="preserve">
initially reported as wet weight %, converted by SWCAA</t>
        </r>
      </text>
    </comment>
    <comment ref="M20" authorId="0">
      <text>
        <r>
          <rPr>
            <b/>
            <sz val="9"/>
            <rFont val="Tahoma"/>
            <family val="2"/>
          </rPr>
          <t>Clint Lamoreaux:</t>
        </r>
        <r>
          <rPr>
            <sz val="9"/>
            <rFont val="Tahoma"/>
            <family val="2"/>
          </rPr>
          <t xml:space="preserve">
wet weight percent</t>
        </r>
      </text>
    </comment>
    <comment ref="E21" authorId="0">
      <text>
        <r>
          <rPr>
            <b/>
            <sz val="9"/>
            <rFont val="Tahoma"/>
            <family val="2"/>
          </rPr>
          <t>Clint Lamoreaux:</t>
        </r>
        <r>
          <rPr>
            <sz val="9"/>
            <rFont val="Tahoma"/>
            <family val="2"/>
          </rPr>
          <t xml:space="preserve">
based on actual board feet, not nominal</t>
        </r>
      </text>
    </comment>
  </commentList>
</comments>
</file>

<file path=xl/comments3.xml><?xml version="1.0" encoding="utf-8"?>
<comments xmlns="http://schemas.openxmlformats.org/spreadsheetml/2006/main">
  <authors>
    <author>Clint Lamoreaux</author>
  </authors>
  <commentList>
    <comment ref="G6" authorId="0">
      <text>
        <r>
          <rPr>
            <b/>
            <sz val="9"/>
            <rFont val="Tahoma"/>
            <family val="2"/>
          </rPr>
          <t>Clint Lamoreaux:</t>
        </r>
        <r>
          <rPr>
            <sz val="9"/>
            <rFont val="Tahoma"/>
            <family val="2"/>
          </rPr>
          <t xml:space="preserve">
Method CI//WP-98.01 (NCASI, 1998)</t>
        </r>
      </text>
    </comment>
    <comment ref="H6" authorId="0">
      <text>
        <r>
          <rPr>
            <b/>
            <sz val="9"/>
            <rFont val="Tahoma"/>
            <family val="2"/>
          </rPr>
          <t>Clint Lamoreaux:</t>
        </r>
        <r>
          <rPr>
            <sz val="9"/>
            <rFont val="Tahoma"/>
            <family val="2"/>
          </rPr>
          <t xml:space="preserve">
Method CI//WP-98.01 (NCASI, 1998)</t>
        </r>
      </text>
    </comment>
    <comment ref="D7" authorId="0">
      <text>
        <r>
          <rPr>
            <b/>
            <sz val="9"/>
            <rFont val="Tahoma"/>
            <family val="2"/>
          </rPr>
          <t>Clint Lamoreaux:</t>
        </r>
        <r>
          <rPr>
            <sz val="9"/>
            <rFont val="Tahoma"/>
            <family val="2"/>
          </rPr>
          <t xml:space="preserve">
% moisture in this case is mass water/mass dry lumber</t>
        </r>
      </text>
    </comment>
  </commentList>
</comments>
</file>

<file path=xl/comments4.xml><?xml version="1.0" encoding="utf-8"?>
<comments xmlns="http://schemas.openxmlformats.org/spreadsheetml/2006/main">
  <authors>
    <author>Clint Lamoreaux</author>
  </authors>
  <commentList>
    <comment ref="D124" authorId="0">
      <text>
        <r>
          <rPr>
            <b/>
            <sz val="9"/>
            <rFont val="Tahoma"/>
            <family val="2"/>
          </rPr>
          <t>Clint Lamoreaux:</t>
        </r>
        <r>
          <rPr>
            <sz val="9"/>
            <rFont val="Tahoma"/>
            <family val="2"/>
          </rPr>
          <t xml:space="preserve">
% moisture in this case is mass water/mass dry lumber</t>
        </r>
      </text>
    </comment>
    <comment ref="F123" authorId="0">
      <text>
        <r>
          <rPr>
            <b/>
            <sz val="9"/>
            <rFont val="Tahoma"/>
            <family val="2"/>
          </rPr>
          <t>Clint Lamoreaux:</t>
        </r>
        <r>
          <rPr>
            <sz val="9"/>
            <rFont val="Tahoma"/>
            <family val="2"/>
          </rPr>
          <t xml:space="preserve">
Method CI//WP-98.01 (NCASI, 1998)</t>
        </r>
      </text>
    </comment>
    <comment ref="G123" authorId="0">
      <text>
        <r>
          <rPr>
            <b/>
            <sz val="9"/>
            <rFont val="Tahoma"/>
            <family val="2"/>
          </rPr>
          <t>Clint Lamoreaux:</t>
        </r>
        <r>
          <rPr>
            <sz val="9"/>
            <rFont val="Tahoma"/>
            <family val="2"/>
          </rPr>
          <t xml:space="preserve">
Method CI//WP-98.01 (NCASI, 1998)</t>
        </r>
      </text>
    </comment>
    <comment ref="N131" authorId="0">
      <text>
        <r>
          <rPr>
            <b/>
            <sz val="9"/>
            <rFont val="Tahoma"/>
            <family val="2"/>
          </rPr>
          <t>Clint Lamoreaux:</t>
        </r>
        <r>
          <rPr>
            <sz val="9"/>
            <rFont val="Tahoma"/>
            <family val="2"/>
          </rPr>
          <t xml:space="preserve">
1/2 charge from A and 1/2 charge from B</t>
        </r>
      </text>
    </comment>
    <comment ref="E135" authorId="0">
      <text>
        <r>
          <rPr>
            <b/>
            <sz val="9"/>
            <rFont val="Tahoma"/>
            <family val="2"/>
          </rPr>
          <t>Clint Lamoreaux:</t>
        </r>
        <r>
          <rPr>
            <sz val="9"/>
            <rFont val="Tahoma"/>
            <family val="2"/>
          </rPr>
          <t xml:space="preserve">
0.16?  Check significant figures if possible.  Listed as 0.16 in 2007 summary</t>
        </r>
      </text>
    </comment>
    <comment ref="F146" authorId="0">
      <text>
        <r>
          <rPr>
            <b/>
            <sz val="9"/>
            <rFont val="Tahoma"/>
            <family val="2"/>
          </rPr>
          <t>Clint Lamoreaux:</t>
        </r>
        <r>
          <rPr>
            <sz val="9"/>
            <rFont val="Tahoma"/>
            <family val="2"/>
          </rPr>
          <t xml:space="preserve">
average of Methods 98.01 and 105 respectively</t>
        </r>
      </text>
    </comment>
    <comment ref="G146" authorId="0">
      <text>
        <r>
          <rPr>
            <b/>
            <sz val="9"/>
            <rFont val="Tahoma"/>
            <family val="2"/>
          </rPr>
          <t>Clint Lamoreaux:</t>
        </r>
        <r>
          <rPr>
            <sz val="9"/>
            <rFont val="Tahoma"/>
            <family val="2"/>
          </rPr>
          <t xml:space="preserve">
average of Methods 98.01 and 105 results respectively</t>
        </r>
      </text>
    </comment>
    <comment ref="H146" authorId="0">
      <text>
        <r>
          <rPr>
            <b/>
            <sz val="9"/>
            <rFont val="Tahoma"/>
            <family val="2"/>
          </rPr>
          <t>Clint Lamoreaux:</t>
        </r>
        <r>
          <rPr>
            <sz val="9"/>
            <rFont val="Tahoma"/>
            <family val="2"/>
          </rPr>
          <t xml:space="preserve">
Method 105</t>
        </r>
      </text>
    </comment>
    <comment ref="I146" authorId="0">
      <text>
        <r>
          <rPr>
            <b/>
            <sz val="9"/>
            <rFont val="Tahoma"/>
            <family val="2"/>
          </rPr>
          <t>Clint Lamoreaux:</t>
        </r>
        <r>
          <rPr>
            <sz val="9"/>
            <rFont val="Tahoma"/>
            <family val="2"/>
          </rPr>
          <t xml:space="preserve">
Method 105</t>
        </r>
      </text>
    </comment>
    <comment ref="J146" authorId="0">
      <text>
        <r>
          <rPr>
            <b/>
            <sz val="9"/>
            <rFont val="Tahoma"/>
            <family val="2"/>
          </rPr>
          <t>Clint Lamoreaux:</t>
        </r>
        <r>
          <rPr>
            <sz val="9"/>
            <rFont val="Tahoma"/>
            <family val="2"/>
          </rPr>
          <t xml:space="preserve">
Method 105</t>
        </r>
      </text>
    </comment>
    <comment ref="F142" authorId="0">
      <text>
        <r>
          <rPr>
            <b/>
            <sz val="9"/>
            <rFont val="Tahoma"/>
            <family val="2"/>
          </rPr>
          <t>Clint Lamoreaux:</t>
        </r>
        <r>
          <rPr>
            <sz val="9"/>
            <rFont val="Tahoma"/>
            <family val="2"/>
          </rPr>
          <t xml:space="preserve">
Initiall listed in early version of the table as 0.186 lb/mbf</t>
        </r>
      </text>
    </comment>
    <comment ref="F143" authorId="0">
      <text>
        <r>
          <rPr>
            <b/>
            <sz val="9"/>
            <rFont val="Tahoma"/>
            <family val="2"/>
          </rPr>
          <t>Clint Lamoreaux:</t>
        </r>
        <r>
          <rPr>
            <sz val="9"/>
            <rFont val="Tahoma"/>
            <family val="2"/>
          </rPr>
          <t xml:space="preserve">
Initiall listed in early version of the table as 0.410 lb/mbf</t>
        </r>
      </text>
    </comment>
    <comment ref="G142" authorId="0">
      <text>
        <r>
          <rPr>
            <b/>
            <sz val="9"/>
            <rFont val="Tahoma"/>
            <family val="2"/>
          </rPr>
          <t>Clint Lamoreaux:</t>
        </r>
        <r>
          <rPr>
            <sz val="9"/>
            <rFont val="Tahoma"/>
            <family val="2"/>
          </rPr>
          <t xml:space="preserve">
Initiall listed in early version of the table as 0.0020 lb/mbf</t>
        </r>
      </text>
    </comment>
    <comment ref="G143" authorId="0">
      <text>
        <r>
          <rPr>
            <b/>
            <sz val="9"/>
            <rFont val="Tahoma"/>
            <family val="2"/>
          </rPr>
          <t>Clint Lamoreaux:</t>
        </r>
        <r>
          <rPr>
            <sz val="9"/>
            <rFont val="Tahoma"/>
            <family val="2"/>
          </rPr>
          <t xml:space="preserve">
Initiall listed in early version of the table as 0.0066 lb/mbf</t>
        </r>
      </text>
    </comment>
    <comment ref="L147" authorId="0">
      <text>
        <r>
          <rPr>
            <b/>
            <sz val="9"/>
            <rFont val="Tahoma"/>
            <family val="2"/>
          </rPr>
          <t>Clint Lamoreaux:</t>
        </r>
        <r>
          <rPr>
            <sz val="9"/>
            <rFont val="Tahoma"/>
            <family val="2"/>
          </rPr>
          <t xml:space="preserve">
dried to stable weight (listed as 15% but not tested)</t>
        </r>
      </text>
    </comment>
    <comment ref="L148" authorId="0">
      <text>
        <r>
          <rPr>
            <b/>
            <sz val="9"/>
            <rFont val="Tahoma"/>
            <family val="2"/>
          </rPr>
          <t>Clint Lamoreaux:</t>
        </r>
        <r>
          <rPr>
            <sz val="9"/>
            <rFont val="Tahoma"/>
            <family val="2"/>
          </rPr>
          <t xml:space="preserve">
dried to stable weight (listed as 15% but not tested)</t>
        </r>
      </text>
    </comment>
    <comment ref="F149" authorId="0">
      <text>
        <r>
          <rPr>
            <b/>
            <sz val="9"/>
            <rFont val="Tahoma"/>
            <family val="2"/>
          </rPr>
          <t>Clint Lamoreaux:</t>
        </r>
        <r>
          <rPr>
            <sz val="9"/>
            <rFont val="Tahoma"/>
            <family val="2"/>
          </rPr>
          <t xml:space="preserve">
Method 105</t>
        </r>
      </text>
    </comment>
    <comment ref="G149" authorId="0">
      <text>
        <r>
          <rPr>
            <b/>
            <sz val="9"/>
            <rFont val="Tahoma"/>
            <family val="2"/>
          </rPr>
          <t>Clint Lamoreaux:</t>
        </r>
        <r>
          <rPr>
            <sz val="9"/>
            <rFont val="Tahoma"/>
            <family val="2"/>
          </rPr>
          <t xml:space="preserve">
Method 105</t>
        </r>
      </text>
    </comment>
    <comment ref="H149" authorId="0">
      <text>
        <r>
          <rPr>
            <b/>
            <sz val="9"/>
            <rFont val="Tahoma"/>
            <family val="2"/>
          </rPr>
          <t>Clint Lamoreaux:</t>
        </r>
        <r>
          <rPr>
            <sz val="9"/>
            <rFont val="Tahoma"/>
            <family val="2"/>
          </rPr>
          <t xml:space="preserve">
Method 105</t>
        </r>
      </text>
    </comment>
    <comment ref="I149" authorId="0">
      <text>
        <r>
          <rPr>
            <b/>
            <sz val="9"/>
            <rFont val="Tahoma"/>
            <family val="2"/>
          </rPr>
          <t>Clint Lamoreaux:</t>
        </r>
        <r>
          <rPr>
            <sz val="9"/>
            <rFont val="Tahoma"/>
            <family val="2"/>
          </rPr>
          <t xml:space="preserve">
Method 105</t>
        </r>
      </text>
    </comment>
    <comment ref="J149" authorId="0">
      <text>
        <r>
          <rPr>
            <b/>
            <sz val="9"/>
            <rFont val="Tahoma"/>
            <family val="2"/>
          </rPr>
          <t>Clint Lamoreaux:</t>
        </r>
        <r>
          <rPr>
            <sz val="9"/>
            <rFont val="Tahoma"/>
            <family val="2"/>
          </rPr>
          <t xml:space="preserve">
Method 105</t>
        </r>
      </text>
    </comment>
    <comment ref="F150" authorId="0">
      <text>
        <r>
          <rPr>
            <b/>
            <sz val="9"/>
            <rFont val="Tahoma"/>
            <family val="2"/>
          </rPr>
          <t>Clint Lamoreaux:</t>
        </r>
        <r>
          <rPr>
            <sz val="9"/>
            <rFont val="Tahoma"/>
            <family val="2"/>
          </rPr>
          <t xml:space="preserve">
Method 105</t>
        </r>
      </text>
    </comment>
    <comment ref="G150" authorId="0">
      <text>
        <r>
          <rPr>
            <b/>
            <sz val="9"/>
            <rFont val="Tahoma"/>
            <family val="2"/>
          </rPr>
          <t>Clint Lamoreaux:</t>
        </r>
        <r>
          <rPr>
            <sz val="9"/>
            <rFont val="Tahoma"/>
            <family val="2"/>
          </rPr>
          <t xml:space="preserve">
Method 105</t>
        </r>
      </text>
    </comment>
    <comment ref="H150" authorId="0">
      <text>
        <r>
          <rPr>
            <b/>
            <sz val="9"/>
            <rFont val="Tahoma"/>
            <family val="2"/>
          </rPr>
          <t>Clint Lamoreaux:</t>
        </r>
        <r>
          <rPr>
            <sz val="9"/>
            <rFont val="Tahoma"/>
            <family val="2"/>
          </rPr>
          <t xml:space="preserve">
Method 105</t>
        </r>
      </text>
    </comment>
    <comment ref="I150" authorId="0">
      <text>
        <r>
          <rPr>
            <b/>
            <sz val="9"/>
            <rFont val="Tahoma"/>
            <family val="2"/>
          </rPr>
          <t>Clint Lamoreaux:</t>
        </r>
        <r>
          <rPr>
            <sz val="9"/>
            <rFont val="Tahoma"/>
            <family val="2"/>
          </rPr>
          <t xml:space="preserve">
Method 105</t>
        </r>
      </text>
    </comment>
    <comment ref="J150" authorId="0">
      <text>
        <r>
          <rPr>
            <b/>
            <sz val="9"/>
            <rFont val="Tahoma"/>
            <family val="2"/>
          </rPr>
          <t>Clint Lamoreaux:</t>
        </r>
        <r>
          <rPr>
            <sz val="9"/>
            <rFont val="Tahoma"/>
            <family val="2"/>
          </rPr>
          <t xml:space="preserve">
Method 105</t>
        </r>
      </text>
    </comment>
    <comment ref="F151" authorId="0">
      <text>
        <r>
          <rPr>
            <b/>
            <sz val="9"/>
            <rFont val="Tahoma"/>
            <family val="2"/>
          </rPr>
          <t>Clint Lamoreaux:</t>
        </r>
        <r>
          <rPr>
            <sz val="9"/>
            <rFont val="Tahoma"/>
            <family val="2"/>
          </rPr>
          <t xml:space="preserve">
Method 105</t>
        </r>
      </text>
    </comment>
    <comment ref="G151" authorId="0">
      <text>
        <r>
          <rPr>
            <b/>
            <sz val="9"/>
            <rFont val="Tahoma"/>
            <family val="2"/>
          </rPr>
          <t>Clint Lamoreaux:</t>
        </r>
        <r>
          <rPr>
            <sz val="9"/>
            <rFont val="Tahoma"/>
            <family val="2"/>
          </rPr>
          <t xml:space="preserve">
Method 105</t>
        </r>
      </text>
    </comment>
    <comment ref="H151" authorId="0">
      <text>
        <r>
          <rPr>
            <b/>
            <sz val="9"/>
            <rFont val="Tahoma"/>
            <family val="2"/>
          </rPr>
          <t>Clint Lamoreaux:</t>
        </r>
        <r>
          <rPr>
            <sz val="9"/>
            <rFont val="Tahoma"/>
            <family val="2"/>
          </rPr>
          <t xml:space="preserve">
Method 105</t>
        </r>
      </text>
    </comment>
    <comment ref="I151" authorId="0">
      <text>
        <r>
          <rPr>
            <b/>
            <sz val="9"/>
            <rFont val="Tahoma"/>
            <family val="2"/>
          </rPr>
          <t>Clint Lamoreaux:</t>
        </r>
        <r>
          <rPr>
            <sz val="9"/>
            <rFont val="Tahoma"/>
            <family val="2"/>
          </rPr>
          <t xml:space="preserve">
Method 105</t>
        </r>
      </text>
    </comment>
    <comment ref="J151" authorId="0">
      <text>
        <r>
          <rPr>
            <b/>
            <sz val="9"/>
            <rFont val="Tahoma"/>
            <family val="2"/>
          </rPr>
          <t>Clint Lamoreaux:</t>
        </r>
        <r>
          <rPr>
            <sz val="9"/>
            <rFont val="Tahoma"/>
            <family val="2"/>
          </rPr>
          <t xml:space="preserve">
Method 105</t>
        </r>
      </text>
    </comment>
    <comment ref="F152" authorId="0">
      <text>
        <r>
          <rPr>
            <b/>
            <sz val="9"/>
            <rFont val="Tahoma"/>
            <family val="2"/>
          </rPr>
          <t>Clint Lamoreaux:</t>
        </r>
        <r>
          <rPr>
            <sz val="9"/>
            <rFont val="Tahoma"/>
            <family val="2"/>
          </rPr>
          <t xml:space="preserve">
Method 105</t>
        </r>
      </text>
    </comment>
    <comment ref="G152" authorId="0">
      <text>
        <r>
          <rPr>
            <b/>
            <sz val="9"/>
            <rFont val="Tahoma"/>
            <family val="2"/>
          </rPr>
          <t>Clint Lamoreaux:</t>
        </r>
        <r>
          <rPr>
            <sz val="9"/>
            <rFont val="Tahoma"/>
            <family val="2"/>
          </rPr>
          <t xml:space="preserve">
Method 105</t>
        </r>
      </text>
    </comment>
    <comment ref="H152" authorId="0">
      <text>
        <r>
          <rPr>
            <b/>
            <sz val="9"/>
            <rFont val="Tahoma"/>
            <family val="2"/>
          </rPr>
          <t>Clint Lamoreaux:</t>
        </r>
        <r>
          <rPr>
            <sz val="9"/>
            <rFont val="Tahoma"/>
            <family val="2"/>
          </rPr>
          <t xml:space="preserve">
Method 105</t>
        </r>
      </text>
    </comment>
    <comment ref="I152" authorId="0">
      <text>
        <r>
          <rPr>
            <b/>
            <sz val="9"/>
            <rFont val="Tahoma"/>
            <family val="2"/>
          </rPr>
          <t>Clint Lamoreaux:</t>
        </r>
        <r>
          <rPr>
            <sz val="9"/>
            <rFont val="Tahoma"/>
            <family val="2"/>
          </rPr>
          <t xml:space="preserve">
Method 105</t>
        </r>
      </text>
    </comment>
    <comment ref="J152" authorId="0">
      <text>
        <r>
          <rPr>
            <b/>
            <sz val="9"/>
            <rFont val="Tahoma"/>
            <family val="2"/>
          </rPr>
          <t>Clint Lamoreaux:</t>
        </r>
        <r>
          <rPr>
            <sz val="9"/>
            <rFont val="Tahoma"/>
            <family val="2"/>
          </rPr>
          <t xml:space="preserve">
Method 105</t>
        </r>
      </text>
    </comment>
    <comment ref="F154" authorId="0">
      <text>
        <r>
          <rPr>
            <b/>
            <sz val="9"/>
            <rFont val="Tahoma"/>
            <family val="2"/>
          </rPr>
          <t>Clint Lamoreaux:</t>
        </r>
        <r>
          <rPr>
            <sz val="9"/>
            <rFont val="Tahoma"/>
            <family val="2"/>
          </rPr>
          <t xml:space="preserve">
Method 105</t>
        </r>
      </text>
    </comment>
    <comment ref="G154" authorId="0">
      <text>
        <r>
          <rPr>
            <b/>
            <sz val="9"/>
            <rFont val="Tahoma"/>
            <family val="2"/>
          </rPr>
          <t>Clint Lamoreaux:</t>
        </r>
        <r>
          <rPr>
            <sz val="9"/>
            <rFont val="Tahoma"/>
            <family val="2"/>
          </rPr>
          <t xml:space="preserve">
Method 105</t>
        </r>
      </text>
    </comment>
    <comment ref="H154" authorId="0">
      <text>
        <r>
          <rPr>
            <b/>
            <sz val="9"/>
            <rFont val="Tahoma"/>
            <family val="2"/>
          </rPr>
          <t>Clint Lamoreaux:</t>
        </r>
        <r>
          <rPr>
            <sz val="9"/>
            <rFont val="Tahoma"/>
            <family val="2"/>
          </rPr>
          <t xml:space="preserve">
Method 105</t>
        </r>
      </text>
    </comment>
    <comment ref="I154" authorId="0">
      <text>
        <r>
          <rPr>
            <b/>
            <sz val="9"/>
            <rFont val="Tahoma"/>
            <family val="2"/>
          </rPr>
          <t>Clint Lamoreaux:</t>
        </r>
        <r>
          <rPr>
            <sz val="9"/>
            <rFont val="Tahoma"/>
            <family val="2"/>
          </rPr>
          <t xml:space="preserve">
Method 105</t>
        </r>
      </text>
    </comment>
    <comment ref="J154" authorId="0">
      <text>
        <r>
          <rPr>
            <b/>
            <sz val="9"/>
            <rFont val="Tahoma"/>
            <family val="2"/>
          </rPr>
          <t>Clint Lamoreaux:</t>
        </r>
        <r>
          <rPr>
            <sz val="9"/>
            <rFont val="Tahoma"/>
            <family val="2"/>
          </rPr>
          <t xml:space="preserve">
Method 105</t>
        </r>
      </text>
    </commen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14" authorId="0">
      <text>
        <r>
          <rPr>
            <b/>
            <sz val="9"/>
            <rFont val="Tahoma"/>
            <family val="2"/>
          </rPr>
          <t>Clint Lamoreaux:</t>
        </r>
        <r>
          <rPr>
            <sz val="9"/>
            <rFont val="Tahoma"/>
            <family val="2"/>
          </rPr>
          <t xml:space="preserve">
0.16?  Check significant figures if possible.  Listed as 0.16 in 2007 summary</t>
        </r>
      </text>
    </comment>
    <comment ref="G26" authorId="0">
      <text>
        <r>
          <rPr>
            <b/>
            <sz val="9"/>
            <rFont val="Tahoma"/>
            <family val="2"/>
          </rPr>
          <t>Clint Lamoreaux:</t>
        </r>
        <r>
          <rPr>
            <sz val="9"/>
            <rFont val="Tahoma"/>
            <family val="2"/>
          </rPr>
          <t xml:space="preserve">
Initiall listed in early version of the table as 0.186 lb/mbf</t>
        </r>
      </text>
    </comment>
    <comment ref="H26" authorId="0">
      <text>
        <r>
          <rPr>
            <b/>
            <sz val="9"/>
            <rFont val="Tahoma"/>
            <family val="2"/>
          </rPr>
          <t>Clint Lamoreaux:</t>
        </r>
        <r>
          <rPr>
            <sz val="9"/>
            <rFont val="Tahoma"/>
            <family val="2"/>
          </rPr>
          <t xml:space="preserve">
Initiall listed in early version of the table as 0.0020 lb/mbf</t>
        </r>
      </text>
    </comment>
    <comment ref="G33" authorId="0">
      <text>
        <r>
          <rPr>
            <b/>
            <sz val="9"/>
            <rFont val="Tahoma"/>
            <family val="2"/>
          </rPr>
          <t>Clint Lamoreaux:</t>
        </r>
        <r>
          <rPr>
            <sz val="9"/>
            <rFont val="Tahoma"/>
            <family val="2"/>
          </rPr>
          <t xml:space="preserve">
Initiall listed in early version of the table as 0.410 lb/mbf</t>
        </r>
      </text>
    </comment>
    <comment ref="H33" authorId="0">
      <text>
        <r>
          <rPr>
            <b/>
            <sz val="9"/>
            <rFont val="Tahoma"/>
            <family val="2"/>
          </rPr>
          <t>Clint Lamoreaux:</t>
        </r>
        <r>
          <rPr>
            <sz val="9"/>
            <rFont val="Tahoma"/>
            <family val="2"/>
          </rPr>
          <t xml:space="preserve">
Initiall listed in early version of the table as 0.0066 lb/mbf</t>
        </r>
      </text>
    </comment>
    <comment ref="G20" authorId="0">
      <text>
        <r>
          <rPr>
            <b/>
            <sz val="9"/>
            <rFont val="Tahoma"/>
            <family val="2"/>
          </rPr>
          <t>Clint Lamoreaux:</t>
        </r>
        <r>
          <rPr>
            <sz val="9"/>
            <rFont val="Tahoma"/>
            <family val="2"/>
          </rPr>
          <t xml:space="preserve">
average of Methods 98.01 and 105 respectively</t>
        </r>
      </text>
    </comment>
    <comment ref="H20" authorId="0">
      <text>
        <r>
          <rPr>
            <b/>
            <sz val="9"/>
            <rFont val="Tahoma"/>
            <family val="2"/>
          </rPr>
          <t>Clint Lamoreaux:</t>
        </r>
        <r>
          <rPr>
            <sz val="9"/>
            <rFont val="Tahoma"/>
            <family val="2"/>
          </rPr>
          <t xml:space="preserve">
average of Methods 98.01 and 105 results respectively</t>
        </r>
      </text>
    </comment>
    <comment ref="I20" authorId="0">
      <text>
        <r>
          <rPr>
            <b/>
            <sz val="9"/>
            <rFont val="Tahoma"/>
            <family val="2"/>
          </rPr>
          <t>Clint Lamoreaux:</t>
        </r>
        <r>
          <rPr>
            <sz val="9"/>
            <rFont val="Tahoma"/>
            <family val="2"/>
          </rPr>
          <t xml:space="preserve">
Method 105</t>
        </r>
      </text>
    </comment>
    <comment ref="J20" authorId="0">
      <text>
        <r>
          <rPr>
            <b/>
            <sz val="9"/>
            <rFont val="Tahoma"/>
            <family val="2"/>
          </rPr>
          <t>Clint Lamoreaux:</t>
        </r>
        <r>
          <rPr>
            <sz val="9"/>
            <rFont val="Tahoma"/>
            <family val="2"/>
          </rPr>
          <t xml:space="preserve">
Method 105</t>
        </r>
      </text>
    </comment>
    <comment ref="K20" authorId="0">
      <text>
        <r>
          <rPr>
            <b/>
            <sz val="9"/>
            <rFont val="Tahoma"/>
            <family val="2"/>
          </rPr>
          <t>Clint Lamoreaux:</t>
        </r>
        <r>
          <rPr>
            <sz val="9"/>
            <rFont val="Tahoma"/>
            <family val="2"/>
          </rPr>
          <t xml:space="preserve">
Method 105</t>
        </r>
      </text>
    </comment>
    <comment ref="G21" authorId="0">
      <text>
        <r>
          <rPr>
            <b/>
            <sz val="9"/>
            <rFont val="Tahoma"/>
            <family val="2"/>
          </rPr>
          <t>Clint Lamoreaux:</t>
        </r>
        <r>
          <rPr>
            <sz val="9"/>
            <rFont val="Tahoma"/>
            <family val="2"/>
          </rPr>
          <t xml:space="preserve">
Method 105</t>
        </r>
      </text>
    </comment>
    <comment ref="H21" authorId="0">
      <text>
        <r>
          <rPr>
            <b/>
            <sz val="9"/>
            <rFont val="Tahoma"/>
            <family val="2"/>
          </rPr>
          <t>Clint Lamoreaux:</t>
        </r>
        <r>
          <rPr>
            <sz val="9"/>
            <rFont val="Tahoma"/>
            <family val="2"/>
          </rPr>
          <t xml:space="preserve">
Method 105</t>
        </r>
      </text>
    </comment>
    <comment ref="I21" authorId="0">
      <text>
        <r>
          <rPr>
            <b/>
            <sz val="9"/>
            <rFont val="Tahoma"/>
            <family val="2"/>
          </rPr>
          <t>Clint Lamoreaux:</t>
        </r>
        <r>
          <rPr>
            <sz val="9"/>
            <rFont val="Tahoma"/>
            <family val="2"/>
          </rPr>
          <t xml:space="preserve">
Method 105</t>
        </r>
      </text>
    </comment>
    <comment ref="J21" authorId="0">
      <text>
        <r>
          <rPr>
            <b/>
            <sz val="9"/>
            <rFont val="Tahoma"/>
            <family val="2"/>
          </rPr>
          <t>Clint Lamoreaux:</t>
        </r>
        <r>
          <rPr>
            <sz val="9"/>
            <rFont val="Tahoma"/>
            <family val="2"/>
          </rPr>
          <t xml:space="preserve">
Method 105</t>
        </r>
      </text>
    </comment>
    <comment ref="K21" authorId="0">
      <text>
        <r>
          <rPr>
            <b/>
            <sz val="9"/>
            <rFont val="Tahoma"/>
            <family val="2"/>
          </rPr>
          <t>Clint Lamoreaux:</t>
        </r>
        <r>
          <rPr>
            <sz val="9"/>
            <rFont val="Tahoma"/>
            <family val="2"/>
          </rPr>
          <t xml:space="preserve">
Method 105</t>
        </r>
      </text>
    </comment>
    <comment ref="G27" authorId="0">
      <text>
        <r>
          <rPr>
            <b/>
            <sz val="9"/>
            <rFont val="Tahoma"/>
            <family val="2"/>
          </rPr>
          <t>Clint Lamoreaux:</t>
        </r>
        <r>
          <rPr>
            <sz val="9"/>
            <rFont val="Tahoma"/>
            <family val="2"/>
          </rPr>
          <t xml:space="preserve">
Method 105</t>
        </r>
      </text>
    </comment>
    <comment ref="H27" authorId="0">
      <text>
        <r>
          <rPr>
            <b/>
            <sz val="9"/>
            <rFont val="Tahoma"/>
            <family val="2"/>
          </rPr>
          <t>Clint Lamoreaux:</t>
        </r>
        <r>
          <rPr>
            <sz val="9"/>
            <rFont val="Tahoma"/>
            <family val="2"/>
          </rPr>
          <t xml:space="preserve">
Method 105</t>
        </r>
      </text>
    </comment>
    <comment ref="I27" authorId="0">
      <text>
        <r>
          <rPr>
            <b/>
            <sz val="9"/>
            <rFont val="Tahoma"/>
            <family val="2"/>
          </rPr>
          <t>Clint Lamoreaux:</t>
        </r>
        <r>
          <rPr>
            <sz val="9"/>
            <rFont val="Tahoma"/>
            <family val="2"/>
          </rPr>
          <t xml:space="preserve">
Method 105</t>
        </r>
      </text>
    </comment>
    <comment ref="J27" authorId="0">
      <text>
        <r>
          <rPr>
            <b/>
            <sz val="9"/>
            <rFont val="Tahoma"/>
            <family val="2"/>
          </rPr>
          <t>Clint Lamoreaux:</t>
        </r>
        <r>
          <rPr>
            <sz val="9"/>
            <rFont val="Tahoma"/>
            <family val="2"/>
          </rPr>
          <t xml:space="preserve">
Method 105</t>
        </r>
      </text>
    </comment>
    <comment ref="K27" authorId="0">
      <text>
        <r>
          <rPr>
            <b/>
            <sz val="9"/>
            <rFont val="Tahoma"/>
            <family val="2"/>
          </rPr>
          <t>Clint Lamoreaux:</t>
        </r>
        <r>
          <rPr>
            <sz val="9"/>
            <rFont val="Tahoma"/>
            <family val="2"/>
          </rPr>
          <t xml:space="preserve">
Method 105</t>
        </r>
      </text>
    </comment>
    <comment ref="G28" authorId="0">
      <text>
        <r>
          <rPr>
            <b/>
            <sz val="9"/>
            <rFont val="Tahoma"/>
            <family val="2"/>
          </rPr>
          <t>Clint Lamoreaux:</t>
        </r>
        <r>
          <rPr>
            <sz val="9"/>
            <rFont val="Tahoma"/>
            <family val="2"/>
          </rPr>
          <t xml:space="preserve">
Method 105</t>
        </r>
      </text>
    </comment>
    <comment ref="H28" authorId="0">
      <text>
        <r>
          <rPr>
            <b/>
            <sz val="9"/>
            <rFont val="Tahoma"/>
            <family val="2"/>
          </rPr>
          <t>Clint Lamoreaux:</t>
        </r>
        <r>
          <rPr>
            <sz val="9"/>
            <rFont val="Tahoma"/>
            <family val="2"/>
          </rPr>
          <t xml:space="preserve">
Method 105</t>
        </r>
      </text>
    </comment>
    <comment ref="I28" authorId="0">
      <text>
        <r>
          <rPr>
            <b/>
            <sz val="9"/>
            <rFont val="Tahoma"/>
            <family val="2"/>
          </rPr>
          <t>Clint Lamoreaux:</t>
        </r>
        <r>
          <rPr>
            <sz val="9"/>
            <rFont val="Tahoma"/>
            <family val="2"/>
          </rPr>
          <t xml:space="preserve">
Method 105</t>
        </r>
      </text>
    </comment>
    <comment ref="J28" authorId="0">
      <text>
        <r>
          <rPr>
            <b/>
            <sz val="9"/>
            <rFont val="Tahoma"/>
            <family val="2"/>
          </rPr>
          <t>Clint Lamoreaux:</t>
        </r>
        <r>
          <rPr>
            <sz val="9"/>
            <rFont val="Tahoma"/>
            <family val="2"/>
          </rPr>
          <t xml:space="preserve">
Method 105</t>
        </r>
      </text>
    </comment>
    <comment ref="K28" authorId="0">
      <text>
        <r>
          <rPr>
            <b/>
            <sz val="9"/>
            <rFont val="Tahoma"/>
            <family val="2"/>
          </rPr>
          <t>Clint Lamoreaux:</t>
        </r>
        <r>
          <rPr>
            <sz val="9"/>
            <rFont val="Tahoma"/>
            <family val="2"/>
          </rPr>
          <t xml:space="preserve">
Method 105</t>
        </r>
      </text>
    </comment>
    <comment ref="G35" authorId="0">
      <text>
        <r>
          <rPr>
            <b/>
            <sz val="9"/>
            <rFont val="Tahoma"/>
            <family val="2"/>
          </rPr>
          <t>Clint Lamoreaux:</t>
        </r>
        <r>
          <rPr>
            <sz val="9"/>
            <rFont val="Tahoma"/>
            <family val="2"/>
          </rPr>
          <t xml:space="preserve">
Method 105</t>
        </r>
      </text>
    </comment>
    <comment ref="H35" authorId="0">
      <text>
        <r>
          <rPr>
            <b/>
            <sz val="9"/>
            <rFont val="Tahoma"/>
            <family val="2"/>
          </rPr>
          <t>Clint Lamoreaux:</t>
        </r>
        <r>
          <rPr>
            <sz val="9"/>
            <rFont val="Tahoma"/>
            <family val="2"/>
          </rPr>
          <t xml:space="preserve">
Method 105</t>
        </r>
      </text>
    </comment>
    <comment ref="I35" authorId="0">
      <text>
        <r>
          <rPr>
            <b/>
            <sz val="9"/>
            <rFont val="Tahoma"/>
            <family val="2"/>
          </rPr>
          <t>Clint Lamoreaux:</t>
        </r>
        <r>
          <rPr>
            <sz val="9"/>
            <rFont val="Tahoma"/>
            <family val="2"/>
          </rPr>
          <t xml:space="preserve">
Method 105</t>
        </r>
      </text>
    </comment>
    <comment ref="J35" authorId="0">
      <text>
        <r>
          <rPr>
            <b/>
            <sz val="9"/>
            <rFont val="Tahoma"/>
            <family val="2"/>
          </rPr>
          <t>Clint Lamoreaux:</t>
        </r>
        <r>
          <rPr>
            <sz val="9"/>
            <rFont val="Tahoma"/>
            <family val="2"/>
          </rPr>
          <t xml:space="preserve">
Method 105</t>
        </r>
      </text>
    </comment>
    <comment ref="K35" authorId="0">
      <text>
        <r>
          <rPr>
            <b/>
            <sz val="9"/>
            <rFont val="Tahoma"/>
            <family val="2"/>
          </rPr>
          <t>Clint Lamoreaux:</t>
        </r>
        <r>
          <rPr>
            <sz val="9"/>
            <rFont val="Tahoma"/>
            <family val="2"/>
          </rPr>
          <t xml:space="preserve">
Method 105</t>
        </r>
      </text>
    </comment>
    <comment ref="E18" authorId="0">
      <text>
        <r>
          <rPr>
            <b/>
            <sz val="9"/>
            <rFont val="Tahoma"/>
            <family val="2"/>
          </rPr>
          <t>Clint Lamoreaux:</t>
        </r>
        <r>
          <rPr>
            <sz val="9"/>
            <rFont val="Tahoma"/>
            <family val="2"/>
          </rPr>
          <t xml:space="preserve">
Says 0.06 in table on page 15 of report - if anything should go DOWN when correct to 15% moisture</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0"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1"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2"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M22" authorId="0">
      <text>
        <r>
          <rPr>
            <b/>
            <sz val="9"/>
            <rFont val="Tahoma"/>
            <family val="2"/>
          </rPr>
          <t>Clint Lamoreaux:</t>
        </r>
        <r>
          <rPr>
            <sz val="9"/>
            <rFont val="Tahoma"/>
            <family val="2"/>
          </rPr>
          <t xml:space="preserve">
wet basis</t>
        </r>
      </text>
    </comment>
  </commentList>
</comments>
</file>

<file path=xl/comments5.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G13" authorId="0">
      <text>
        <r>
          <rPr>
            <b/>
            <sz val="9"/>
            <rFont val="Tahoma"/>
            <family val="2"/>
          </rPr>
          <t>Clint Lamoreaux:</t>
        </r>
        <r>
          <rPr>
            <sz val="9"/>
            <rFont val="Tahoma"/>
            <family val="2"/>
          </rPr>
          <t xml:space="preserve">
average of Methods 98.01 and 105 results respectively</t>
        </r>
      </text>
    </comment>
    <comment ref="H13" authorId="0">
      <text>
        <r>
          <rPr>
            <b/>
            <sz val="9"/>
            <rFont val="Tahoma"/>
            <family val="2"/>
          </rPr>
          <t>Clint Lamoreaux:</t>
        </r>
        <r>
          <rPr>
            <sz val="9"/>
            <rFont val="Tahoma"/>
            <family val="2"/>
          </rPr>
          <t xml:space="preserve">
average of Methods 98.01 and 105 results respectively</t>
        </r>
      </text>
    </comment>
    <comment ref="F103" authorId="0">
      <text>
        <r>
          <rPr>
            <b/>
            <sz val="9"/>
            <rFont val="Tahoma"/>
            <family val="2"/>
          </rPr>
          <t>Clint Lamoreaux:</t>
        </r>
        <r>
          <rPr>
            <sz val="9"/>
            <rFont val="Tahoma"/>
            <family val="2"/>
          </rPr>
          <t xml:space="preserve">
Method CI//WP-98.01 (NCASI, 1998)</t>
        </r>
      </text>
    </comment>
    <comment ref="G103" authorId="0">
      <text>
        <r>
          <rPr>
            <b/>
            <sz val="9"/>
            <rFont val="Tahoma"/>
            <family val="2"/>
          </rPr>
          <t>Clint Lamoreaux:</t>
        </r>
        <r>
          <rPr>
            <sz val="9"/>
            <rFont val="Tahoma"/>
            <family val="2"/>
          </rPr>
          <t xml:space="preserve">
Method CI//WP-98.01 (NCASI, 1998)</t>
        </r>
      </text>
    </comment>
    <comment ref="D104" authorId="0">
      <text>
        <r>
          <rPr>
            <b/>
            <sz val="9"/>
            <rFont val="Tahoma"/>
            <family val="2"/>
          </rPr>
          <t>Clint Lamoreaux:</t>
        </r>
        <r>
          <rPr>
            <sz val="9"/>
            <rFont val="Tahoma"/>
            <family val="2"/>
          </rPr>
          <t xml:space="preserve">
% moisture in this case is mass water/mass dry lumber</t>
        </r>
      </text>
    </comment>
    <comment ref="F106" authorId="0">
      <text>
        <r>
          <rPr>
            <b/>
            <sz val="9"/>
            <rFont val="Tahoma"/>
            <family val="2"/>
          </rPr>
          <t>Clint Lamoreaux:</t>
        </r>
        <r>
          <rPr>
            <sz val="9"/>
            <rFont val="Tahoma"/>
            <family val="2"/>
          </rPr>
          <t xml:space="preserve">
average of Methods 98.01 and 105 results respectively</t>
        </r>
      </text>
    </comment>
    <comment ref="G106" authorId="0">
      <text>
        <r>
          <rPr>
            <b/>
            <sz val="9"/>
            <rFont val="Tahoma"/>
            <family val="2"/>
          </rPr>
          <t>Clint Lamoreaux:</t>
        </r>
        <r>
          <rPr>
            <sz val="9"/>
            <rFont val="Tahoma"/>
            <family val="2"/>
          </rPr>
          <t xml:space="preserve">
average of Methods 98.01 and 105 results respectively</t>
        </r>
      </text>
    </comment>
    <comment ref="M15" authorId="0">
      <text>
        <r>
          <rPr>
            <b/>
            <sz val="9"/>
            <rFont val="Tahoma"/>
            <family val="2"/>
          </rPr>
          <t>Clint Lamoreaux:</t>
        </r>
        <r>
          <rPr>
            <sz val="9"/>
            <rFont val="Tahoma"/>
            <family val="2"/>
          </rPr>
          <t xml:space="preserve">
wet basis</t>
        </r>
      </text>
    </comment>
    <comment ref="M16" authorId="0">
      <text>
        <r>
          <rPr>
            <b/>
            <sz val="9"/>
            <rFont val="Tahoma"/>
            <family val="2"/>
          </rPr>
          <t>Clint Lamoreaux:</t>
        </r>
        <r>
          <rPr>
            <sz val="9"/>
            <rFont val="Tahoma"/>
            <family val="2"/>
          </rPr>
          <t xml:space="preserve">
wet basis</t>
        </r>
      </text>
    </comment>
    <comment ref="M17" authorId="0">
      <text>
        <r>
          <rPr>
            <b/>
            <sz val="9"/>
            <rFont val="Tahoma"/>
            <family val="2"/>
          </rPr>
          <t>Clint Lamoreaux:</t>
        </r>
        <r>
          <rPr>
            <sz val="9"/>
            <rFont val="Tahoma"/>
            <family val="2"/>
          </rPr>
          <t xml:space="preserve">
wet basis</t>
        </r>
      </text>
    </comment>
    <comment ref="M18" authorId="0">
      <text>
        <r>
          <rPr>
            <b/>
            <sz val="9"/>
            <rFont val="Tahoma"/>
            <family val="2"/>
          </rPr>
          <t>Clint Lamoreaux:</t>
        </r>
        <r>
          <rPr>
            <sz val="9"/>
            <rFont val="Tahoma"/>
            <family val="2"/>
          </rPr>
          <t xml:space="preserve">
wet basis</t>
        </r>
      </text>
    </comment>
    <comment ref="M19" authorId="0">
      <text>
        <r>
          <rPr>
            <b/>
            <sz val="9"/>
            <rFont val="Tahoma"/>
            <family val="2"/>
          </rPr>
          <t>Clint Lamoreaux:</t>
        </r>
        <r>
          <rPr>
            <sz val="9"/>
            <rFont val="Tahoma"/>
            <family val="2"/>
          </rPr>
          <t xml:space="preserve">
wet basis</t>
        </r>
      </text>
    </comment>
  </commentList>
</comments>
</file>

<file path=xl/comments6.xml><?xml version="1.0" encoding="utf-8"?>
<comments xmlns="http://schemas.openxmlformats.org/spreadsheetml/2006/main">
  <authors>
    <author>Clint Lamoreaux</author>
  </authors>
  <commentList>
    <comment ref="G6" authorId="0">
      <text>
        <r>
          <rPr>
            <b/>
            <sz val="9"/>
            <rFont val="Tahoma"/>
            <family val="2"/>
          </rPr>
          <t>Clint Lamoreaux:</t>
        </r>
        <r>
          <rPr>
            <sz val="9"/>
            <rFont val="Tahoma"/>
            <family val="2"/>
          </rPr>
          <t xml:space="preserve">
Method CI//WP-98.01 (NCASI, 1998)</t>
        </r>
      </text>
    </comment>
    <comment ref="H6" authorId="0">
      <text>
        <r>
          <rPr>
            <b/>
            <sz val="9"/>
            <rFont val="Tahoma"/>
            <family val="2"/>
          </rPr>
          <t>Clint Lamoreaux:</t>
        </r>
        <r>
          <rPr>
            <sz val="9"/>
            <rFont val="Tahoma"/>
            <family val="2"/>
          </rPr>
          <t xml:space="preserve">
Method CI//WP-98.01 (NCASI, 1998)</t>
        </r>
      </text>
    </comment>
    <comment ref="D7" authorId="0">
      <text>
        <r>
          <rPr>
            <b/>
            <sz val="9"/>
            <rFont val="Tahoma"/>
            <family val="2"/>
          </rPr>
          <t>Clint Lamoreaux:</t>
        </r>
        <r>
          <rPr>
            <sz val="9"/>
            <rFont val="Tahoma"/>
            <family val="2"/>
          </rPr>
          <t xml:space="preserve">
% moisture in this case is mass water/mass dry lumber</t>
        </r>
      </text>
    </comment>
    <comment ref="A14" authorId="0">
      <text>
        <r>
          <rPr>
            <b/>
            <sz val="9"/>
            <rFont val="Tahoma"/>
            <family val="2"/>
          </rPr>
          <t>Clint Lamoreaux:</t>
        </r>
        <r>
          <rPr>
            <sz val="9"/>
            <rFont val="Tahoma"/>
            <family val="2"/>
          </rPr>
          <t xml:space="preserve">
Temp reduced to 205 DB at end of cycle (225 F at hour 44)</t>
        </r>
      </text>
    </comment>
    <comment ref="B14" authorId="0">
      <text>
        <r>
          <rPr>
            <b/>
            <sz val="9"/>
            <rFont val="Tahoma"/>
            <family val="2"/>
          </rPr>
          <t>Clint Lamoreaux:</t>
        </r>
        <r>
          <rPr>
            <sz val="9"/>
            <rFont val="Tahoma"/>
            <family val="2"/>
          </rPr>
          <t xml:space="preserve">
Final temp was higher (170 F), 165 corresponded with high DB temp. at 44 hours</t>
        </r>
      </text>
    </comment>
    <comment ref="M12" authorId="0">
      <text>
        <r>
          <rPr>
            <b/>
            <sz val="9"/>
            <rFont val="Tahoma"/>
            <family val="2"/>
          </rPr>
          <t>Clint Lamoreaux:</t>
        </r>
        <r>
          <rPr>
            <sz val="9"/>
            <rFont val="Tahoma"/>
            <family val="2"/>
          </rPr>
          <t xml:space="preserve">
wet basis</t>
        </r>
      </text>
    </comment>
    <comment ref="M13" authorId="0">
      <text>
        <r>
          <rPr>
            <b/>
            <sz val="9"/>
            <rFont val="Tahoma"/>
            <family val="2"/>
          </rPr>
          <t>Clint Lamoreaux:</t>
        </r>
        <r>
          <rPr>
            <sz val="9"/>
            <rFont val="Tahoma"/>
            <family val="2"/>
          </rPr>
          <t xml:space="preserve">
wet basis</t>
        </r>
      </text>
    </comment>
  </commentList>
</comments>
</file>

<file path=xl/comments7.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N102" authorId="0">
      <text>
        <r>
          <rPr>
            <b/>
            <sz val="9"/>
            <rFont val="Tahoma"/>
            <family val="2"/>
          </rPr>
          <t>Clint Lamoreaux:</t>
        </r>
        <r>
          <rPr>
            <sz val="9"/>
            <rFont val="Tahoma"/>
            <family val="2"/>
          </rPr>
          <t xml:space="preserve">
1/2 charge from A and 1/2 charge from B</t>
        </r>
      </text>
    </comment>
    <comment ref="L118" authorId="0">
      <text>
        <r>
          <rPr>
            <b/>
            <sz val="9"/>
            <rFont val="Tahoma"/>
            <family val="2"/>
          </rPr>
          <t>Clint Lamoreaux:</t>
        </r>
        <r>
          <rPr>
            <sz val="9"/>
            <rFont val="Tahoma"/>
            <family val="2"/>
          </rPr>
          <t xml:space="preserve">
dried to stable weight (listed as 15% but not tested)</t>
        </r>
      </text>
    </comment>
    <comment ref="L119" authorId="0">
      <text>
        <r>
          <rPr>
            <b/>
            <sz val="9"/>
            <rFont val="Tahoma"/>
            <family val="2"/>
          </rPr>
          <t>Clint Lamoreaux:</t>
        </r>
        <r>
          <rPr>
            <sz val="9"/>
            <rFont val="Tahoma"/>
            <family val="2"/>
          </rPr>
          <t xml:space="preserve">
dried to stable weight (listed as 15% but not tested)</t>
        </r>
      </text>
    </comment>
  </commentList>
</comments>
</file>

<file path=xl/comments8.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M11" authorId="0">
      <text>
        <r>
          <rPr>
            <b/>
            <sz val="9"/>
            <rFont val="Tahoma"/>
            <family val="2"/>
          </rPr>
          <t>Clint Lamoreaux:</t>
        </r>
        <r>
          <rPr>
            <sz val="9"/>
            <rFont val="Tahoma"/>
            <family val="2"/>
          </rPr>
          <t xml:space="preserve">
wet basis</t>
        </r>
      </text>
    </comment>
    <comment ref="M12" authorId="0">
      <text>
        <r>
          <rPr>
            <b/>
            <sz val="9"/>
            <rFont val="Tahoma"/>
            <family val="2"/>
          </rPr>
          <t>Clint Lamoreaux:</t>
        </r>
        <r>
          <rPr>
            <sz val="9"/>
            <rFont val="Tahoma"/>
            <family val="2"/>
          </rPr>
          <t xml:space="preserve">
wet basis</t>
        </r>
      </text>
    </comment>
  </commentList>
</comments>
</file>

<file path=xl/sharedStrings.xml><?xml version="1.0" encoding="utf-8"?>
<sst xmlns="http://schemas.openxmlformats.org/spreadsheetml/2006/main" count="1772" uniqueCount="523">
  <si>
    <t>VOC</t>
  </si>
  <si>
    <t>Formaldehyde</t>
  </si>
  <si>
    <t>Acetaldehyde</t>
  </si>
  <si>
    <t>Notes</t>
  </si>
  <si>
    <t>(hours)</t>
  </si>
  <si>
    <t>Alder</t>
  </si>
  <si>
    <t>Maple</t>
  </si>
  <si>
    <t>Dry Kiln Emission Factors</t>
  </si>
  <si>
    <t>Emission Factor (lb C/MBF)</t>
  </si>
  <si>
    <t>Facility</t>
  </si>
  <si>
    <t>Mositure</t>
  </si>
  <si>
    <t>lodgepole Pine</t>
  </si>
  <si>
    <t>Pine 2</t>
  </si>
  <si>
    <t>Douglas fir</t>
  </si>
  <si>
    <t>Hemlock</t>
  </si>
  <si>
    <t>Hemlock 2</t>
  </si>
  <si>
    <t>Alder 2</t>
  </si>
  <si>
    <t>Cedar</t>
  </si>
  <si>
    <t>Spruce</t>
  </si>
  <si>
    <t>Other</t>
  </si>
  <si>
    <t>Date</t>
  </si>
  <si>
    <t>Testing company</t>
  </si>
  <si>
    <t>Test method</t>
  </si>
  <si>
    <t>Comments</t>
  </si>
  <si>
    <t>Weyerhaeuser</t>
  </si>
  <si>
    <t>EPA 25D</t>
  </si>
  <si>
    <t>Ponderosa Pine, hemlock at detection limit</t>
  </si>
  <si>
    <t>NW Hardwood</t>
  </si>
  <si>
    <t>Horizon</t>
  </si>
  <si>
    <t>H. Dettinger</t>
  </si>
  <si>
    <t>Hampton (CS)</t>
  </si>
  <si>
    <t xml:space="preserve">Hampton  </t>
  </si>
  <si>
    <t>Cascade</t>
  </si>
  <si>
    <t>Other is Maple</t>
  </si>
  <si>
    <t>Hardwoods</t>
  </si>
  <si>
    <t>Northwood</t>
  </si>
  <si>
    <t xml:space="preserve">Hampton </t>
  </si>
  <si>
    <t>OSU</t>
  </si>
  <si>
    <t>Lumber</t>
  </si>
  <si>
    <t>180 F</t>
  </si>
  <si>
    <t>215 F</t>
  </si>
  <si>
    <t>Columbia</t>
  </si>
  <si>
    <t>Vista</t>
  </si>
  <si>
    <t>MBF = 1,000 board feet</t>
  </si>
  <si>
    <t>Samples at 8, 12, 16, 20, 35, 50% moisture</t>
  </si>
  <si>
    <t>Hemlock VOC</t>
  </si>
  <si>
    <t>Reference</t>
  </si>
  <si>
    <t>Temperature</t>
  </si>
  <si>
    <t>lbC/Mbf</t>
  </si>
  <si>
    <t>reported in lbVOC/Mbf</t>
  </si>
  <si>
    <t>2- HAP Emission</t>
  </si>
  <si>
    <t>3- Western Hemlock</t>
  </si>
  <si>
    <t>from july 98</t>
  </si>
  <si>
    <t>Drying cycle was longer, 65+ hrs</t>
  </si>
  <si>
    <t>5- VOC, Methanol, and Form.</t>
  </si>
  <si>
    <t>Hampton test</t>
  </si>
  <si>
    <t>Dry Bulb</t>
  </si>
  <si>
    <t>deg F</t>
  </si>
  <si>
    <t>Wet Bulb</t>
  </si>
  <si>
    <t>Final</t>
  </si>
  <si>
    <t>Size</t>
  </si>
  <si>
    <t>Initial</t>
  </si>
  <si>
    <t>Moisture (%)</t>
  </si>
  <si>
    <t>THC</t>
  </si>
  <si>
    <t>lb/mbf as C</t>
  </si>
  <si>
    <t>Sample</t>
  </si>
  <si>
    <t>Analysis</t>
  </si>
  <si>
    <t>Facility/Sample Source</t>
  </si>
  <si>
    <t>2" x 6"</t>
  </si>
  <si>
    <t>Nominal</t>
  </si>
  <si>
    <t>Described as "Sample A"</t>
  </si>
  <si>
    <t>2" x 4"</t>
  </si>
  <si>
    <t>July 1998</t>
  </si>
  <si>
    <t>February 2004</t>
  </si>
  <si>
    <t>Described as "Sample B"</t>
  </si>
  <si>
    <t>Described as "Sample C"</t>
  </si>
  <si>
    <t>Described as "Sample B+C"</t>
  </si>
  <si>
    <t>March 2004</t>
  </si>
  <si>
    <t>Described as "Sample D"</t>
  </si>
  <si>
    <t>Described as "Sample E"</t>
  </si>
  <si>
    <t>June 2004</t>
  </si>
  <si>
    <t>August 2004</t>
  </si>
  <si>
    <t>September 2004</t>
  </si>
  <si>
    <t>October 2004</t>
  </si>
  <si>
    <t>February 2005</t>
  </si>
  <si>
    <t>Described as "Sample F"</t>
  </si>
  <si>
    <t>Described as "Sample G"</t>
  </si>
  <si>
    <t>Described as "Sample H"</t>
  </si>
  <si>
    <t>Described as "Sample I"</t>
  </si>
  <si>
    <t>Source is Table 1 of Milota/OSU document "Emissions from Wesltern Hemlock Lumber During Drying" June 28, 2005</t>
  </si>
  <si>
    <t>Methanol</t>
  </si>
  <si>
    <t>lb/mbf</t>
  </si>
  <si>
    <t>Notes - Milota calibrated with C3H8 - could be some negative bias due to alcohol content of VOCs</t>
  </si>
  <si>
    <t>Method CI//WP-98.01 (NCASI, 1998) used to sample for methanol and formaldehyde</t>
  </si>
  <si>
    <t>Milota noted only a small relationship between THC can dry bulb temperature</t>
  </si>
  <si>
    <t>Stronger correlation between THC and moisture than temperature</t>
  </si>
  <si>
    <t>Sampling results in 0-10% of THC analyzer range</t>
  </si>
  <si>
    <t>February 2007</t>
  </si>
  <si>
    <t>Milota for Hampton Affiliates (March 23, 2007 report)</t>
  </si>
  <si>
    <t>Milota for Hampton Affiliates (March 23, 2007 report) - described at (for Hampton in February, 2002)</t>
  </si>
  <si>
    <t>February 2002</t>
  </si>
  <si>
    <t>Propionaldehyde</t>
  </si>
  <si>
    <t>Acrolein</t>
  </si>
  <si>
    <t>Milota for Hampton Affiliates (May 22, 2007 report)</t>
  </si>
  <si>
    <t>Mar/April 2007</t>
  </si>
  <si>
    <t>150 - 165</t>
  </si>
  <si>
    <t>Source is Table 1 of Milota/OSU document "Emissions from Wesltern Hemlock Lumber During Drying" June 28, 2005 / Milota for Hampton Affiliates - August 24, 2004 report</t>
  </si>
  <si>
    <t>Source is Table 1 of Milota/OSU document "Emissions from Wesltern Hemlock Lumber During Drying" June 28, 2005 / Milota for Hampton Affiliates - August 24, 2004 report / Milota for Hampton Affiliates (June 21, 2004 report)</t>
  </si>
  <si>
    <t>Source is Table 1 of Milota/OSU document "Emissions from Wesltern Hemlock Lumber During Drying" June 28, 2005 / Milota for Hampton Affiliates (October 15, 2004 report)</t>
  </si>
  <si>
    <t>Milota - August 15, 2007 submission for Forest Products Journal</t>
  </si>
  <si>
    <t>Drying</t>
  </si>
  <si>
    <t>Time</t>
  </si>
  <si>
    <t>Moisture</t>
  </si>
  <si>
    <t>Content</t>
  </si>
  <si>
    <t>Milota - Forest Products Journal Vol. 56, No. 2, February 2006</t>
  </si>
  <si>
    <t>2.8-3.1cm x 7-22cm</t>
  </si>
  <si>
    <t>Milota - Forest Products Journal Vol 53, No. 3 - March 2003 (likely grand fir, noble fir, subalpine fir)</t>
  </si>
  <si>
    <t>Not listed</t>
  </si>
  <si>
    <t>Lavery, Milota - Forest Products Journal Vol 50, No. 7/8</t>
  </si>
  <si>
    <t>Fritze et. al. Forest Products Journal Vol. 54, No. 7/8 (July/August 2004)</t>
  </si>
  <si>
    <t>Horizon for Hampton Lumber Mills - Morton - Aug. 30 - Sept. 2, 1999</t>
  </si>
  <si>
    <t>Horizon for Hampton Lumber Mills - Morton - Sept. 2 - Sept. 4, 1999</t>
  </si>
  <si>
    <t>August/September 1999</t>
  </si>
  <si>
    <t>~ 15%</t>
  </si>
  <si>
    <t>September 1999</t>
  </si>
  <si>
    <t>Milota - Emissions of HAPs from Lumber During (drying?) - Submitted to Forest Products Journal - August 15, 2007</t>
  </si>
  <si>
    <t>Sample B</t>
  </si>
  <si>
    <t>Sample C</t>
  </si>
  <si>
    <t>Sample A</t>
  </si>
  <si>
    <t>2" x 4" or 6"</t>
  </si>
  <si>
    <t>5/4 random width</t>
  </si>
  <si>
    <t>Lumber Drying Emission Factors</t>
  </si>
  <si>
    <t>Comparison with ODEQ Values</t>
  </si>
  <si>
    <t>Species</t>
  </si>
  <si>
    <t>Max Kiln</t>
  </si>
  <si>
    <t>Temp. Deg. F</t>
  </si>
  <si>
    <t>Total HAP</t>
  </si>
  <si>
    <t>lb/MMBF</t>
  </si>
  <si>
    <t>Douglas Fir</t>
  </si>
  <si>
    <t>White Fir</t>
  </si>
  <si>
    <t>Ponderosa Pine</t>
  </si>
  <si>
    <t>Lodgepole Pine</t>
  </si>
  <si>
    <t>Slash Pine</t>
  </si>
  <si>
    <t>&gt; 200 °F</t>
  </si>
  <si>
    <r>
      <rPr>
        <u val="single"/>
        <sz val="12"/>
        <rFont val="Times New Roman"/>
        <family val="1"/>
      </rPr>
      <t>&lt;</t>
    </r>
    <r>
      <rPr>
        <sz val="12"/>
        <rFont val="Times New Roman"/>
        <family val="1"/>
      </rPr>
      <t xml:space="preserve"> 200 F</t>
    </r>
  </si>
  <si>
    <t>ODEQ Assumed Factors</t>
  </si>
  <si>
    <t>Hampton - Randle</t>
  </si>
  <si>
    <t>Hampton - Morton</t>
  </si>
  <si>
    <t>Hampton - Morton/Randle</t>
  </si>
  <si>
    <r>
      <rPr>
        <u val="single"/>
        <sz val="12"/>
        <rFont val="Times New Roman"/>
        <family val="1"/>
      </rPr>
      <t>&lt;</t>
    </r>
    <r>
      <rPr>
        <sz val="12"/>
        <rFont val="Times New Roman"/>
        <family val="1"/>
      </rPr>
      <t xml:space="preserve"> 200 °F</t>
    </r>
  </si>
  <si>
    <t>lb/Mbf as C</t>
  </si>
  <si>
    <t>lb/Mbf</t>
  </si>
  <si>
    <t>Hemlock Drying Emissions - In Order of Ascending Temperature</t>
  </si>
  <si>
    <t>Ethanol</t>
  </si>
  <si>
    <t>Acetic Acid</t>
  </si>
  <si>
    <r>
      <t>VOC as C</t>
    </r>
    <r>
      <rPr>
        <vertAlign val="subscript"/>
        <sz val="12"/>
        <rFont val="Times New Roman"/>
        <family val="1"/>
      </rPr>
      <t>3</t>
    </r>
    <r>
      <rPr>
        <sz val="12"/>
        <rFont val="Times New Roman"/>
        <family val="1"/>
      </rPr>
      <t>H</t>
    </r>
    <r>
      <rPr>
        <vertAlign val="subscript"/>
        <sz val="12"/>
        <rFont val="Times New Roman"/>
        <family val="1"/>
      </rPr>
      <t>8</t>
    </r>
  </si>
  <si>
    <r>
      <t>lb/Mbf as C</t>
    </r>
    <r>
      <rPr>
        <vertAlign val="subscript"/>
        <sz val="10"/>
        <rFont val="Arial"/>
        <family val="2"/>
      </rPr>
      <t>3</t>
    </r>
    <r>
      <rPr>
        <sz val="10"/>
        <rFont val="Arial"/>
        <family val="2"/>
      </rPr>
      <t>H</t>
    </r>
    <r>
      <rPr>
        <vertAlign val="subscript"/>
        <sz val="10"/>
        <rFont val="Arial"/>
        <family val="2"/>
      </rPr>
      <t>8</t>
    </r>
  </si>
  <si>
    <r>
      <t>as C</t>
    </r>
    <r>
      <rPr>
        <vertAlign val="subscript"/>
        <sz val="12"/>
        <rFont val="Times New Roman"/>
        <family val="1"/>
      </rPr>
      <t>3</t>
    </r>
    <r>
      <rPr>
        <sz val="12"/>
        <rFont val="Times New Roman"/>
        <family val="1"/>
      </rPr>
      <t>H</t>
    </r>
    <r>
      <rPr>
        <vertAlign val="subscript"/>
        <sz val="12"/>
        <rFont val="Times New Roman"/>
        <family val="1"/>
      </rPr>
      <t>8</t>
    </r>
  </si>
  <si>
    <t>lb/Mbf as</t>
  </si>
  <si>
    <r>
      <t>C</t>
    </r>
    <r>
      <rPr>
        <vertAlign val="subscript"/>
        <sz val="10"/>
        <rFont val="Arial"/>
        <family val="2"/>
      </rPr>
      <t>3</t>
    </r>
    <r>
      <rPr>
        <sz val="10"/>
        <rFont val="Arial"/>
        <family val="2"/>
      </rPr>
      <t>H</t>
    </r>
    <r>
      <rPr>
        <vertAlign val="subscript"/>
        <sz val="10"/>
        <rFont val="Arial"/>
        <family val="2"/>
      </rPr>
      <t>8</t>
    </r>
  </si>
  <si>
    <t>SWCAA Emission Factors</t>
  </si>
  <si>
    <t>Oregon Department of Envrironmental Quality - 2007 (for information purposes only)</t>
  </si>
  <si>
    <t>lb/MMbf</t>
  </si>
  <si>
    <t>Mono Turpenes</t>
  </si>
  <si>
    <t>SWCAA Lumber Drying</t>
  </si>
  <si>
    <t>Default Emission Factors</t>
  </si>
  <si>
    <t>Maple Drying Emissions - In Order of Ascending Temperature</t>
  </si>
  <si>
    <t>"White Fir" Drying Emissions - In Order of Ascending Temperature</t>
  </si>
  <si>
    <t>Maximum</t>
  </si>
  <si>
    <t>Unreferenced Data</t>
  </si>
  <si>
    <t>"Sample B"</t>
  </si>
  <si>
    <t>"Sample C"</t>
  </si>
  <si>
    <t>"Sample A"</t>
  </si>
  <si>
    <t>Not specified</t>
  </si>
  <si>
    <t>Unknown</t>
  </si>
  <si>
    <t>Willamette Industries, Inc. - Dry Kiln Particulate and VOC Emissions While Drying Hemlock (at OSU) - Horizon Engineering Source Evaluation Report</t>
  </si>
  <si>
    <t>2.19E-01*(T) - 36.7</t>
  </si>
  <si>
    <t>7.09E-02*(T) - 11.9</t>
  </si>
  <si>
    <t>5.31*(T) - 832</t>
  </si>
  <si>
    <t>4.96*(T) - 771</t>
  </si>
  <si>
    <r>
      <t>PM/PM</t>
    </r>
    <r>
      <rPr>
        <vertAlign val="subscript"/>
        <sz val="12"/>
        <rFont val="Times New Roman"/>
        <family val="1"/>
      </rPr>
      <t>10</t>
    </r>
    <r>
      <rPr>
        <sz val="12"/>
        <rFont val="Times New Roman"/>
        <family val="1"/>
      </rPr>
      <t>/PM</t>
    </r>
    <r>
      <rPr>
        <vertAlign val="subscript"/>
        <sz val="12"/>
        <rFont val="Times New Roman"/>
        <family val="1"/>
      </rPr>
      <t>2.5</t>
    </r>
  </si>
  <si>
    <t>Yellow shaded cells not included in the emission factor derivation because they seemed too far out of line from the average results at that temperature</t>
  </si>
  <si>
    <t>Weyco Hardwoods - Longview</t>
  </si>
  <si>
    <t>Milota - Emissions of HAPs from Lumber During (drying?) - Submitted to Forest Products Journal - August 15, 2007 / OSU report for Weyco Hardwoods - Longiview - May 15, 2007 report</t>
  </si>
  <si>
    <t>Not monitored</t>
  </si>
  <si>
    <t>unknown</t>
  </si>
  <si>
    <t>Horizon Engineering for Cascade Hardwoods - April 30 to May 10, 1998 testing</t>
  </si>
  <si>
    <t>not measured</t>
  </si>
  <si>
    <t>May 4 - May 7, 1998</t>
  </si>
  <si>
    <t>Cascade Hardwoods</t>
  </si>
  <si>
    <t>Horizon Engineering report for Cascade Hardoods - April/May 1998</t>
  </si>
  <si>
    <t>4/30 - 5/3/98</t>
  </si>
  <si>
    <t>5/7 - 5/10/98</t>
  </si>
  <si>
    <t>~74</t>
  </si>
  <si>
    <t>~72.5</t>
  </si>
  <si>
    <t>~70</t>
  </si>
  <si>
    <t>OSU - Milota for Weyco Hardwoods - Longview - February 7, 2007 report</t>
  </si>
  <si>
    <t>Appears SWCAA agreed with Weyco not to use this results because appeared too high</t>
  </si>
  <si>
    <t>Jan 16 - Jan 27, 2007</t>
  </si>
  <si>
    <t>OSU - Milota for Weyco Hardwoods - Longview - February 7, 2007 report (disk seems to indicate HAP testing conducted but not reported)</t>
  </si>
  <si>
    <t>1" x 4" to 15.25"</t>
  </si>
  <si>
    <t>Northwest Hardwoods - Longview</t>
  </si>
  <si>
    <t>OSU - Milota for Northwest Hardwoods Longview - November 2, 2001 report</t>
  </si>
  <si>
    <t>Collection</t>
  </si>
  <si>
    <t>Northwest Hardwoods - Centralia</t>
  </si>
  <si>
    <t>~5/4/2005</t>
  </si>
  <si>
    <t>Milota - Forest Products Journal Vol. 56, No. 2, February 2006 / OSU for Cascade Hardwoods - 2/25/05 test report</t>
  </si>
  <si>
    <t>~2/14/2005</t>
  </si>
  <si>
    <t>Horizon Engineering for Northwest Hardwoods - January 19-20,1999</t>
  </si>
  <si>
    <t>Northest Hardwoods</t>
  </si>
  <si>
    <t>Jan 19-20, 1999</t>
  </si>
  <si>
    <t>Horizon Engineering for Northwest Hardwoods - August 1-4, 1996</t>
  </si>
  <si>
    <t>Northwest Hardwoods</t>
  </si>
  <si>
    <t>Assumptions</t>
  </si>
  <si>
    <t>Response</t>
  </si>
  <si>
    <t>Molecular</t>
  </si>
  <si>
    <t>Component</t>
  </si>
  <si>
    <t>Factor</t>
  </si>
  <si>
    <t>Weight</t>
  </si>
  <si>
    <t>Unspeciated</t>
  </si>
  <si>
    <t>Method 25A</t>
  </si>
  <si>
    <t>Total</t>
  </si>
  <si>
    <t>VOCs</t>
  </si>
  <si>
    <t>as mono turpenes</t>
  </si>
  <si>
    <r>
      <t>CH</t>
    </r>
    <r>
      <rPr>
        <vertAlign val="subscript"/>
        <sz val="12"/>
        <rFont val="Times New Roman"/>
        <family val="1"/>
      </rPr>
      <t>4</t>
    </r>
    <r>
      <rPr>
        <sz val="12"/>
        <rFont val="Times New Roman"/>
        <family val="1"/>
      </rPr>
      <t>0</t>
    </r>
  </si>
  <si>
    <r>
      <t>CH</t>
    </r>
    <r>
      <rPr>
        <vertAlign val="subscript"/>
        <sz val="12"/>
        <rFont val="Times New Roman"/>
        <family val="1"/>
      </rPr>
      <t>2</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</si>
  <si>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4</t>
    </r>
    <r>
      <rPr>
        <sz val="12"/>
        <rFont val="Times New Roman"/>
        <family val="1"/>
      </rPr>
      <t>O</t>
    </r>
  </si>
  <si>
    <r>
      <t>C</t>
    </r>
    <r>
      <rPr>
        <vertAlign val="subscript"/>
        <sz val="12"/>
        <rFont val="Times New Roman"/>
        <family val="1"/>
      </rPr>
      <t>3</t>
    </r>
    <r>
      <rPr>
        <sz val="12"/>
        <rFont val="Times New Roman"/>
        <family val="1"/>
      </rPr>
      <t>H</t>
    </r>
    <r>
      <rPr>
        <vertAlign val="subscript"/>
        <sz val="12"/>
        <rFont val="Times New Roman"/>
        <family val="1"/>
      </rPr>
      <t>6</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</si>
  <si>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6</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</si>
  <si>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4</t>
    </r>
    <r>
      <rPr>
        <sz val="12"/>
        <rFont val="Times New Roman"/>
        <family val="1"/>
      </rPr>
      <t>0</t>
    </r>
    <r>
      <rPr>
        <vertAlign val="subscript"/>
        <sz val="12"/>
        <rFont val="Times New Roman"/>
        <family val="1"/>
      </rPr>
      <t>2</t>
    </r>
  </si>
  <si>
    <r>
      <t>C</t>
    </r>
    <r>
      <rPr>
        <vertAlign val="subscript"/>
        <sz val="12"/>
        <rFont val="Times New Roman"/>
        <family val="1"/>
      </rPr>
      <t>10</t>
    </r>
    <r>
      <rPr>
        <sz val="12"/>
        <rFont val="Times New Roman"/>
        <family val="1"/>
      </rPr>
      <t>H</t>
    </r>
    <r>
      <rPr>
        <vertAlign val="subscript"/>
        <sz val="12"/>
        <rFont val="Times New Roman"/>
        <family val="1"/>
      </rPr>
      <t>16</t>
    </r>
  </si>
  <si>
    <r>
      <t>where response factor = ppm as CH</t>
    </r>
    <r>
      <rPr>
        <vertAlign val="subscript"/>
        <sz val="12"/>
        <rFont val="Times New Roman"/>
        <family val="1"/>
      </rPr>
      <t>4</t>
    </r>
    <r>
      <rPr>
        <sz val="12"/>
        <rFont val="Times New Roman"/>
        <family val="1"/>
      </rPr>
      <t>/ppm compound</t>
    </r>
  </si>
  <si>
    <r>
      <t>Assume all unknown is mono turpenes (C</t>
    </r>
    <r>
      <rPr>
        <vertAlign val="subscript"/>
        <sz val="12"/>
        <rFont val="Times New Roman"/>
        <family val="1"/>
      </rPr>
      <t>10</t>
    </r>
    <r>
      <rPr>
        <sz val="12"/>
        <rFont val="Times New Roman"/>
        <family val="1"/>
      </rPr>
      <t>H</t>
    </r>
    <r>
      <rPr>
        <vertAlign val="subscript"/>
        <sz val="12"/>
        <rFont val="Times New Roman"/>
        <family val="1"/>
      </rPr>
      <t>16</t>
    </r>
    <r>
      <rPr>
        <sz val="12"/>
        <rFont val="Times New Roman"/>
        <family val="1"/>
      </rPr>
      <t>), Mwt. = 136.23</t>
    </r>
  </si>
  <si>
    <t xml:space="preserve"> 2.83*(T) - 457</t>
  </si>
  <si>
    <t>6.40E-02*(T) - 10.8</t>
  </si>
  <si>
    <t>Average</t>
  </si>
  <si>
    <t>Water-stored Logs</t>
  </si>
  <si>
    <t>Alder (Stored in Water)</t>
  </si>
  <si>
    <t xml:space="preserve">Unsoaked log at same temperature </t>
  </si>
  <si>
    <t>Ratio of soaked to unsoaked emissions</t>
  </si>
  <si>
    <t>9.01*(T) - 1,300</t>
  </si>
  <si>
    <t>12.7*(9.01*(T) - 1,300)</t>
  </si>
  <si>
    <t>4" x 4"</t>
  </si>
  <si>
    <t>Columbia Vista - Vancouver</t>
  </si>
  <si>
    <t>"VOC Emissions From the Drying of Douglas-fir Lumber" - Michael Milota - Oregon State University</t>
  </si>
  <si>
    <t>June 2005</t>
  </si>
  <si>
    <t>June 2007</t>
  </si>
  <si>
    <t>Exterior Wood</t>
  </si>
  <si>
    <t>"VOC Emissions From the Drying of Treated Douglas-fir Lumber" - report to Exterior Wood, Washougal, WA - Michael Milota, Oregon State University - July 3, 2007</t>
  </si>
  <si>
    <t>Kilning of Treated Lumber</t>
  </si>
  <si>
    <t>Name of Facility</t>
  </si>
  <si>
    <t>Alexander Lumber Mill, Inc.</t>
  </si>
  <si>
    <t>Annual</t>
  </si>
  <si>
    <t>Throughput</t>
  </si>
  <si>
    <t>Material Kilned</t>
  </si>
  <si>
    <t>Cascade Hardwoods, LLC</t>
  </si>
  <si>
    <t>Columbia Vista Corporation / Vancouver</t>
  </si>
  <si>
    <t>Exterior Wood, Inc.</t>
  </si>
  <si>
    <t>Address</t>
  </si>
  <si>
    <t>Testing Requirements</t>
  </si>
  <si>
    <t>1674 State Highway 508, Chehalis, WA</t>
  </si>
  <si>
    <t>158 Ribelin Road, Chehalis, WA</t>
  </si>
  <si>
    <t>4303 Fruit Valley Road, Vancouver, WA</t>
  </si>
  <si>
    <t>2684 Index Street, Washougal, WA</t>
  </si>
  <si>
    <t>Hambleton Lumber Sales, LLC</t>
  </si>
  <si>
    <t>520 South 28th Street, Washougal, WA</t>
  </si>
  <si>
    <t>Hampton Drying Company</t>
  </si>
  <si>
    <t>247 Priest Road, Morton, WA</t>
  </si>
  <si>
    <t>Hampton Lumber Mills/Washington, Inc. - Morton</t>
  </si>
  <si>
    <t>302 State Route 7, Morton, WA</t>
  </si>
  <si>
    <t>Hampton Lumber Mills/Washington, Inc. - Randle</t>
  </si>
  <si>
    <t>10166 US Highway 12, Randle, WA</t>
  </si>
  <si>
    <t>Shakertown 1992, Inc.</t>
  </si>
  <si>
    <t>120 Kerron Avenue, Winlock, WA</t>
  </si>
  <si>
    <t>Sierra Pacific Industries - Centralia Division</t>
  </si>
  <si>
    <t>3115 Kuper Road, Centralia, WA</t>
  </si>
  <si>
    <t>TrueGuard, LLC</t>
  </si>
  <si>
    <t>725 South 32nd Street, Washougal, WA</t>
  </si>
  <si>
    <t>Wayne-Dalton Corporation</t>
  </si>
  <si>
    <t>2001 Industrial Drive, Centralia, WA</t>
  </si>
  <si>
    <t>3000 Galvin Road, Centralia, WA</t>
  </si>
  <si>
    <t>Weyerhaeuser Hardwoods - Centralia</t>
  </si>
  <si>
    <t>Weyerhaeuser Hardwoods - Longview</t>
  </si>
  <si>
    <t>120 Industrial Way, Longview, WA</t>
  </si>
  <si>
    <t>Wilkins, Kaiser &amp; Olsen, Inc.</t>
  </si>
  <si>
    <t>2022 Wind River Highway, Carson, WA</t>
  </si>
  <si>
    <t>Kiln</t>
  </si>
  <si>
    <t>Capacity</t>
  </si>
  <si>
    <t>bf</t>
  </si>
  <si>
    <t>None</t>
  </si>
  <si>
    <t>Permit</t>
  </si>
  <si>
    <t>~3</t>
  </si>
  <si>
    <t>Alder, Maple</t>
  </si>
  <si>
    <t>04-2566R2</t>
  </si>
  <si>
    <t>09-2854</t>
  </si>
  <si>
    <t>25?</t>
  </si>
  <si>
    <t>Doug Fir</t>
  </si>
  <si>
    <t>+110000+3*?</t>
  </si>
  <si>
    <t>Primary</t>
  </si>
  <si>
    <t>Treated and untreated Doug Fir, Hemlock</t>
  </si>
  <si>
    <t>03-2454</t>
  </si>
  <si>
    <t>1 kiln every 5 years, no HAPs</t>
  </si>
  <si>
    <t>04-2534R1</t>
  </si>
  <si>
    <t xml:space="preserve">Source tests conducted by Horizon Engineering using the "H. Dettinger" method were not used to calculate emission factors because this method does not control humidity in the kiln, and therefore does not accurately represent a drying cycle.  Generally this resulted in shorter drying times.  Some portion of the VOC emissions is believed to be related to thermal decomposition products that would be related to the amount of kiln temperature AND the overall time the wood is held at specific temperatures; therefore the Dettinger method is likely to underestimate VOC emissions. </t>
  </si>
  <si>
    <t>Maximum or Final</t>
  </si>
  <si>
    <t>Source is Table 1 of Milota/OSU document "Emissions from Wesltern Hemlock Lumber During Drying" June 28, 2005 / Report to Hampton Affiliates, Cowlitz Division, by Michael R. Milota - April 15, 2004</t>
  </si>
  <si>
    <t>VOC Emissions from Western Hemlock Lumber - Hampton, February 28, 2002 / Milota - note that data is referenced elsewhere in subsequent Milota documents as February 2004 testing</t>
  </si>
  <si>
    <t>Changes from 090224 Version</t>
  </si>
  <si>
    <t>2. On Hemlock Tab - eliminated 1999 Horizon test results (one at 210 F, one at 215 F) for THC/VOC calculations because these tests did not utilize a kiln cycle (constant temperature drying without moisture control)</t>
  </si>
  <si>
    <t>1. On Hemlock Page - eliminated 3 duplicate 180 F entries of Hampton February 2002 testing (was also listed by Milota documents as February 2004)</t>
  </si>
  <si>
    <t>Changes 1 and 2 resulted in ~ 4.5% increase in estimate VOC emissions from drying of Hemlock between 180 and 200 F.</t>
  </si>
  <si>
    <t>Source</t>
  </si>
  <si>
    <t>JUM Technical Information - for model VE-7</t>
  </si>
  <si>
    <t>EPA guidance</t>
  </si>
  <si>
    <t>Clint Lamoreaux experience with JUM 3-100 FID instruments</t>
  </si>
  <si>
    <t>Thermo Environmental Instruments, Inc. - TVA 1000 "Toxic Vapor Analyzer - Response Factors" at 50 ppm</t>
  </si>
  <si>
    <t>No reference found by SWCAA - assumes resonse based on carbon count</t>
  </si>
  <si>
    <t>1 kiln of dominant species every 5 years w/ HAPs, water wood each batch or year</t>
  </si>
  <si>
    <t>A minimum of two samples of at least two wood species shall be tested for the constituent listed below to ensure the data are representative</t>
  </si>
  <si>
    <t>08-2799</t>
  </si>
  <si>
    <t>(4) as 12' x 60'</t>
  </si>
  <si>
    <t>06-2691</t>
  </si>
  <si>
    <t>00-2256R2</t>
  </si>
  <si>
    <t>02-2409R2</t>
  </si>
  <si>
    <t>not listed</t>
  </si>
  <si>
    <t>00-2291R1</t>
  </si>
  <si>
    <t>actual throuput ~ 5.5 MMBf</t>
  </si>
  <si>
    <t>98-2133R3</t>
  </si>
  <si>
    <t>Next</t>
  </si>
  <si>
    <t>Test</t>
  </si>
  <si>
    <t>due</t>
  </si>
  <si>
    <t>Carbon</t>
  </si>
  <si>
    <t>Monoxide</t>
  </si>
  <si>
    <t>lb/MMBf</t>
  </si>
  <si>
    <t>Effective Carbon Number (ECN) = 1.0 "Modern Practic of Gas Chromatography - Rober Lee Grob, Eugene F. Barry</t>
  </si>
  <si>
    <t>Effective Carbon Number (ECN) = 2.0 "Modern Practic of Gas Chromatography - Rober Lee Grob, Eugene F. Barry</t>
  </si>
  <si>
    <t>Effective Carbon Number (ECN) = 1.95 "Modern Practic of Gas Chromatography - Rober Lee Grob, Eugene F. Barry</t>
  </si>
  <si>
    <t>Changes from 090709 Version</t>
  </si>
  <si>
    <t xml:space="preserve">1. Modified FID resonse factors on "Default Factors" tab with improved information for Acetaldehyde, propionaldehyde and acrolein.  </t>
  </si>
  <si>
    <t>Appropriate value for acetic acid still in question but not used at this time (conflicting data).</t>
  </si>
  <si>
    <t>2/28/2010</t>
  </si>
  <si>
    <t>6/30/2010</t>
  </si>
  <si>
    <t>2/28/2012</t>
  </si>
  <si>
    <t>5/31/2010</t>
  </si>
  <si>
    <t>11/30/2008</t>
  </si>
  <si>
    <t>lb/yr</t>
  </si>
  <si>
    <r>
      <t>lb/yr as C</t>
    </r>
    <r>
      <rPr>
        <vertAlign val="subscript"/>
        <sz val="12"/>
        <rFont val="Times New Roman"/>
        <family val="1"/>
      </rPr>
      <t>3</t>
    </r>
    <r>
      <rPr>
        <sz val="12"/>
        <rFont val="Times New Roman"/>
        <family val="1"/>
      </rPr>
      <t>H</t>
    </r>
    <r>
      <rPr>
        <vertAlign val="subscript"/>
        <sz val="12"/>
        <rFont val="Times New Roman"/>
        <family val="1"/>
      </rPr>
      <t>8</t>
    </r>
  </si>
  <si>
    <t>Milota - Forest Products Journal Vol. 56, No. 2, February 2006 (Cascade Hardwood - 2005)</t>
  </si>
  <si>
    <t>Doug Fir, Hemlock, Pine, Spruce</t>
  </si>
  <si>
    <t xml:space="preserve">Douglas Fir, Hemlock, and Spruce </t>
  </si>
  <si>
    <t xml:space="preserve">Douglas Fir, White Fir, and Hemlock </t>
  </si>
  <si>
    <t>Douglas Fir, Hemlock, Pine and Spruce</t>
  </si>
  <si>
    <t>million bf</t>
  </si>
  <si>
    <t>Lumber Kilning Facilities in SWCAA's Jurisdiction</t>
  </si>
  <si>
    <t>09-2901</t>
  </si>
  <si>
    <t>Dominant species for VOCs, HAPs, water wood based on throughput</t>
  </si>
  <si>
    <t>Too small</t>
  </si>
  <si>
    <t># of tests</t>
  </si>
  <si>
    <t>Doug Fir, Hemlock</t>
  </si>
  <si>
    <t>09-2898</t>
  </si>
  <si>
    <t>7/31/2012</t>
  </si>
  <si>
    <t>Treated Doug Fir</t>
  </si>
  <si>
    <t>Not currently operating</t>
  </si>
  <si>
    <t>Low throughput, no testing requirement in permit</t>
  </si>
  <si>
    <t>No requirement in permit, but this is a significant facility with emissions that may exceed TV thresholds</t>
  </si>
  <si>
    <t>Testing required but species and # of tests not indicated</t>
  </si>
  <si>
    <t>Data Available</t>
  </si>
  <si>
    <t>2</t>
  </si>
  <si>
    <t>0</t>
  </si>
  <si>
    <t>Alder Water Wood</t>
  </si>
  <si>
    <t>6</t>
  </si>
  <si>
    <t>5</t>
  </si>
  <si>
    <r>
      <t>R</t>
    </r>
    <r>
      <rPr>
        <vertAlign val="superscript"/>
        <sz val="14"/>
        <rFont val="Arial"/>
        <family val="2"/>
      </rPr>
      <t>2</t>
    </r>
  </si>
  <si>
    <t>stdev</t>
  </si>
  <si>
    <t>36%</t>
  </si>
  <si>
    <t>28%</t>
  </si>
  <si>
    <t>26%</t>
  </si>
  <si>
    <t>43%</t>
  </si>
  <si>
    <t>Douglas-fir</t>
  </si>
  <si>
    <t>24-36 hrs</t>
  </si>
  <si>
    <t>Duration</t>
  </si>
  <si>
    <t>Kilning</t>
  </si>
  <si>
    <t>4/4</t>
  </si>
  <si>
    <t>White Fir (note White "wood" could include hemlock)</t>
  </si>
  <si>
    <t>2 x 4</t>
  </si>
  <si>
    <t>Alder - Water Wood</t>
  </si>
  <si>
    <t>48-55.5</t>
  </si>
  <si>
    <t>24- 36 hrs pre-dried wood, 120-135 hours for green treated lumber</t>
  </si>
  <si>
    <t>* Note that VOC emission estimates above may be lower than "true" VOC emissions because past testing did not speciate</t>
  </si>
  <si>
    <t>the VOC emissions - unidentified aldehydes and alcohols will be underrepresented in testing conducted to date.</t>
  </si>
  <si>
    <t>Estimated Emissions from Drying 100 Million Board Feet per Year at a Maximum Temperature of 180 °F</t>
  </si>
  <si>
    <t>Estimated Emissions from Drying 100 Million Board Feet per Year at a Maximum Temperature of 200 °F</t>
  </si>
  <si>
    <t>% speciated</t>
  </si>
  <si>
    <t>2 kilns of each wood species (alder, maple) every 5 years, no HAPs</t>
  </si>
  <si>
    <t>Last</t>
  </si>
  <si>
    <t>Tested</t>
  </si>
  <si>
    <t>First</t>
  </si>
  <si>
    <t>Due</t>
  </si>
  <si>
    <t>Permit Requiring First Test</t>
  </si>
  <si>
    <t>#</t>
  </si>
  <si>
    <t>Issued</t>
  </si>
  <si>
    <t>No Previous</t>
  </si>
  <si>
    <t>97-2025</t>
  </si>
  <si>
    <t>03-2475R1</t>
  </si>
  <si>
    <t>3 samples of each wood species, 25A - original test requirement - FNOV/FNOC #3696 issued for late testing - 3 charges ultimately tested</t>
  </si>
  <si>
    <t>10-2926</t>
  </si>
  <si>
    <t>7/31/2013</t>
  </si>
  <si>
    <t>1 charge of dominant species every 5 years w/ HAPs, new test for new species if no factors</t>
  </si>
  <si>
    <t>None - no kiln NSR</t>
  </si>
  <si>
    <t>Required 1 charge every 2 years, 9, 25D</t>
  </si>
  <si>
    <t>95-1817</t>
  </si>
  <si>
    <t>96-1953</t>
  </si>
  <si>
    <t>Required 9, 25A on each (4 identified) representative wood species, every 5 years</t>
  </si>
  <si>
    <t>96-1858</t>
  </si>
  <si>
    <t>Alder only, Methods 9, 25D</t>
  </si>
  <si>
    <t>Milota - Forest Products Journal Vol. 56, No. 2, February 2006 / OSU for Northwest Hardwoods Centralia - May 7, 2005 test</t>
  </si>
  <si>
    <t>97-2048</t>
  </si>
  <si>
    <t>Each species 25A, every 5 years</t>
  </si>
  <si>
    <t>11/31/2011</t>
  </si>
  <si>
    <t>10-2916</t>
  </si>
  <si>
    <t>Clark County</t>
  </si>
  <si>
    <t>Original Test</t>
  </si>
  <si>
    <t>Last Test</t>
  </si>
  <si>
    <t>Next Test Due</t>
  </si>
  <si>
    <t>Cowlitz County</t>
  </si>
  <si>
    <t>Lewis County</t>
  </si>
  <si>
    <t>11/30/2009</t>
  </si>
  <si>
    <t>Skamania County</t>
  </si>
  <si>
    <t>Milota's Costs</t>
  </si>
  <si>
    <t>Up Front FTIR =</t>
  </si>
  <si>
    <t>Weekly Rental =</t>
  </si>
  <si>
    <t>Hours =</t>
  </si>
  <si>
    <t>VOC Run =</t>
  </si>
  <si>
    <t>Overhead =</t>
  </si>
  <si>
    <t>Total Cost =</t>
  </si>
  <si>
    <t>Hours</t>
  </si>
  <si>
    <t>Quote</t>
  </si>
  <si>
    <t>Labor =</t>
  </si>
  <si>
    <t>per hour</t>
  </si>
  <si>
    <t>Reporting =</t>
  </si>
  <si>
    <t>Calculated</t>
  </si>
  <si>
    <t>Difference</t>
  </si>
  <si>
    <t>Total =</t>
  </si>
  <si>
    <t>Individual</t>
  </si>
  <si>
    <t>Option</t>
  </si>
  <si>
    <t>Overhead</t>
  </si>
  <si>
    <t>Without</t>
  </si>
  <si>
    <t>Recently quoted $19,770 for 25A and sampling 50% of the time with M105,</t>
  </si>
  <si>
    <t>quote was $28,730 for 25A, continuous M105 (4 samples)</t>
  </si>
  <si>
    <t>05-2587</t>
  </si>
  <si>
    <t>Previous</t>
  </si>
  <si>
    <t>Cost</t>
  </si>
  <si>
    <t>Stand</t>
  </si>
  <si>
    <t>Alone</t>
  </si>
  <si>
    <t>$50,000+</t>
  </si>
  <si>
    <t>Note - MSU VOC quote for white fir in 2008 was $37,500 ($29,500 for Interpoll + $8,000 for MSU) - 2 charges, 55 hours each.</t>
  </si>
  <si>
    <t>ESLP Drying Emissions - In Order of Ascending Temperature</t>
  </si>
  <si>
    <t>Hampton Lumber ESLP</t>
  </si>
  <si>
    <t>Pine Drying Emissions - In Order of Ascending Temperature</t>
  </si>
  <si>
    <t>Ponderosa</t>
  </si>
  <si>
    <t>July 2007</t>
  </si>
  <si>
    <t>d</t>
  </si>
  <si>
    <t>e</t>
  </si>
  <si>
    <t>f</t>
  </si>
  <si>
    <t>g</t>
  </si>
  <si>
    <t>h</t>
  </si>
  <si>
    <t>I</t>
  </si>
  <si>
    <t>j</t>
  </si>
  <si>
    <t>k</t>
  </si>
  <si>
    <t>MMBf/yr</t>
  </si>
  <si>
    <t>Added ESLP and Pine sheets</t>
  </si>
  <si>
    <t>Changes from 090814 Version</t>
  </si>
  <si>
    <t xml:space="preserve">OSU </t>
  </si>
  <si>
    <t>Added more pine hap data</t>
  </si>
  <si>
    <t>August 2008</t>
  </si>
  <si>
    <t>October 2010</t>
  </si>
  <si>
    <t>Douglas-fir Drying Emissions - In Order of Ascending Temperature</t>
  </si>
  <si>
    <t>"VOC Emissions From the Drying of Douglas-fir Lumber" - Michael Milota - Oregon State University.  70-80 year old coastal timber</t>
  </si>
  <si>
    <t>Hampton Lumber PP by OSU</t>
  </si>
  <si>
    <t>HAPs methods 25A and 98.01 - same test as charge above</t>
  </si>
  <si>
    <t>HAPs method 105 - same charge as row above</t>
  </si>
  <si>
    <t>February 1, 2011 - Updated notes for July 2007 test for Ponderosa Pine</t>
  </si>
  <si>
    <t>November 2010 - Added new emissions data for Douglas-fir from October 2010 test at Columbia Vista</t>
  </si>
  <si>
    <t>Idaho - Sapwood</t>
  </si>
  <si>
    <t>Idaho - Heartwood</t>
  </si>
  <si>
    <t>Washington - Coastal Douglas-Fir</t>
  </si>
  <si>
    <t xml:space="preserve"> (%)</t>
  </si>
  <si>
    <t>California</t>
  </si>
  <si>
    <t>NCASI Technical Bulletin No. 718, July 1996</t>
  </si>
  <si>
    <t>Oregon</t>
  </si>
  <si>
    <t>Changes from 101208 Version</t>
  </si>
  <si>
    <t>Added emissions data from NCASI Tech Bulletin No. 718</t>
  </si>
  <si>
    <t>1" x 4"</t>
  </si>
  <si>
    <t>2006</t>
  </si>
  <si>
    <t>1.65*(T) - 98.9</t>
  </si>
  <si>
    <t>4.60*(T) - 388</t>
  </si>
  <si>
    <t>September 2000</t>
  </si>
  <si>
    <t>August 2000</t>
  </si>
  <si>
    <t>Southcentral Idaho</t>
  </si>
  <si>
    <t>NE Oregon</t>
  </si>
  <si>
    <t>"Small-scale Kiln Study Utilizing Ponderosa Pine, Lodgepole pine, White Fir, and Douglas-fir" - to Intermountain Forest Association - Michael Milota, September 28, 2000</t>
  </si>
  <si>
    <t>June 2000</t>
  </si>
  <si>
    <t>July 2000</t>
  </si>
  <si>
    <t>"Small-scale Kiln Study Utilizing Ponderosa Pine, Lodgepole pine, White Fir, and Douglas-fir" - to Intermountain Forest Association - Michael Milota, September 28, 2000 AND - Milota - Forest Products Journal Vol 53, No. 3 - March 2003 (likely grand fir, noble fir, subalpine fir)</t>
  </si>
  <si>
    <t>Changes from 2011-02-24 Version</t>
  </si>
  <si>
    <t>2" x 10", 12"</t>
  </si>
  <si>
    <t>May 2000</t>
  </si>
  <si>
    <t>Ashland, OR, Redding, CA, and Logan?, OR</t>
  </si>
  <si>
    <t>Added the following from Intermountain Forest Association Report - Milota - September 29, 2000</t>
  </si>
  <si>
    <t xml:space="preserve"> - 4 Ponderosa Pine (two were the same as earlier 175 degree samples), better information in IFA report</t>
  </si>
  <si>
    <t xml:space="preserve"> - 4 White Fir (two same as earlier 180 degree samples), better information in IFA report</t>
  </si>
  <si>
    <t xml:space="preserve"> - 4 Douglas Fir</t>
  </si>
  <si>
    <t>"Emissions from the drying of Doublas-fir lumber" for Hampton Affiliates (Morton) by Michael, Milota, OSU, 2/10/2012</t>
  </si>
  <si>
    <t>January 2012</t>
  </si>
  <si>
    <t>18.5*(T) - 2,697.1</t>
  </si>
  <si>
    <t>1.53*(T) - 237</t>
  </si>
  <si>
    <t>5.23E-02*(T) - 8.10</t>
  </si>
  <si>
    <t>February 2012</t>
  </si>
  <si>
    <r>
      <t>C</t>
    </r>
    <r>
      <rPr>
        <vertAlign val="subscript"/>
        <sz val="12"/>
        <rFont val="Times New Roman"/>
        <family val="1"/>
      </rPr>
      <t>3</t>
    </r>
    <r>
      <rPr>
        <sz val="12"/>
        <rFont val="Times New Roman"/>
        <family val="1"/>
      </rPr>
      <t>H</t>
    </r>
    <r>
      <rPr>
        <vertAlign val="subscript"/>
        <sz val="12"/>
        <rFont val="Times New Roman"/>
        <family val="1"/>
      </rPr>
      <t>4</t>
    </r>
    <r>
      <rPr>
        <sz val="12"/>
        <rFont val="Times New Roman"/>
        <family val="1"/>
      </rPr>
      <t>O</t>
    </r>
  </si>
  <si>
    <t>UPDATE 4-11-13</t>
  </si>
  <si>
    <t>Added Ponderosa Pine info from Hampton Lumber Randle test 2-14-13</t>
  </si>
  <si>
    <t>February 2013</t>
  </si>
  <si>
    <t>Milota - HAPs method 105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</si>
</sst>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
    <numFmt numFmtId="172" formatCode="#,##0.000"/>
    <numFmt numFmtId="173" formatCode="#,##0.0000"/>
    <numFmt numFmtId="174" formatCode="0.0E+00"/>
    <numFmt numFmtId="175" formatCode="0.0%"/>
    <numFmt numFmtId="176" formatCode="[$-409]dddd\,\ mmmm\ dd\,\ yyyy"/>
    <numFmt numFmtId="177" formatCode="&quot;$&quot;#,##0.0_);[Red]\(&quot;$&quot;#,##0.0\)"/>
  </numFmts>
  <fonts count="71">
    <font>
      <sz val="10"/>
      <name val="Arial"/>
      <family val="0"/>
    </font>
    <font>
      <b/>
      <sz val="10"/>
      <name val="Arial"/>
      <family val="2"/>
    </font>
    <font>
      <vertAlign val="subscript"/>
      <sz val="10"/>
      <name val="Arial"/>
      <family val="2"/>
    </font>
    <font>
      <sz val="10"/>
      <color indexed="10"/>
      <name val="Arial"/>
      <family val="2"/>
    </font>
    <font>
      <sz val="9"/>
      <name val="Tahoma"/>
      <family val="2"/>
    </font>
    <font>
      <b/>
      <sz val="9"/>
      <name val="Tahoma"/>
      <family val="2"/>
    </font>
    <font>
      <b/>
      <sz val="10"/>
      <color indexed="48"/>
      <name val="Arial"/>
      <family val="2"/>
    </font>
    <font>
      <sz val="12"/>
      <name val="Times New Roman"/>
      <family val="1"/>
    </font>
    <font>
      <u val="single"/>
      <sz val="12"/>
      <name val="Times New Roman"/>
      <family val="1"/>
    </font>
    <font>
      <b/>
      <sz val="12"/>
      <name val="Times New Roman"/>
      <family val="1"/>
    </font>
    <font>
      <b/>
      <sz val="14"/>
      <name val="Arial"/>
      <family val="2"/>
    </font>
    <font>
      <b/>
      <sz val="12"/>
      <name val="Arial"/>
      <family val="2"/>
    </font>
    <font>
      <vertAlign val="subscript"/>
      <sz val="12"/>
      <name val="Times New Roman"/>
      <family val="1"/>
    </font>
    <font>
      <b/>
      <u val="single"/>
      <sz val="10"/>
      <name val="Arial"/>
      <family val="2"/>
    </font>
    <font>
      <sz val="12"/>
      <color indexed="8"/>
      <name val="Times New Roman"/>
      <family val="1"/>
    </font>
    <font>
      <sz val="11"/>
      <color indexed="8"/>
      <name val="Calibri"/>
      <family val="2"/>
    </font>
    <font>
      <sz val="8"/>
      <name val="Arial"/>
      <family val="2"/>
    </font>
    <font>
      <sz val="8"/>
      <name val="Tahoma"/>
      <family val="2"/>
    </font>
    <font>
      <b/>
      <sz val="8"/>
      <name val="Tahoma"/>
      <family val="2"/>
    </font>
    <font>
      <sz val="14"/>
      <name val="Arial"/>
      <family val="2"/>
    </font>
    <font>
      <vertAlign val="superscript"/>
      <sz val="14"/>
      <name val="Arial"/>
      <family val="2"/>
    </font>
    <font>
      <strike/>
      <sz val="10"/>
      <name val="Arial"/>
      <family val="2"/>
    </font>
    <font>
      <b/>
      <u val="single"/>
      <sz val="16"/>
      <name val="Arial"/>
      <family val="2"/>
    </font>
    <font>
      <b/>
      <sz val="16"/>
      <name val="Arial"/>
      <family val="2"/>
    </font>
    <font>
      <b/>
      <sz val="12"/>
      <color indexed="8"/>
      <name val="Calibri"/>
      <family val="2"/>
    </font>
    <font>
      <sz val="10"/>
      <color indexed="8"/>
      <name val="Calibri"/>
      <family val="2"/>
    </font>
    <font>
      <b/>
      <vertAlign val="superscript"/>
      <sz val="12"/>
      <color indexed="8"/>
      <name val="Calibri"/>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0"/>
      <color indexed="20"/>
      <name val="Arial"/>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vertAlign val="subscript"/>
      <sz val="11"/>
      <color indexed="8"/>
      <name val="Calibri"/>
      <family val="2"/>
    </font>
    <font>
      <u val="single"/>
      <sz val="11"/>
      <color indexed="8"/>
      <name val="Calibri"/>
      <family val="2"/>
    </font>
    <font>
      <b/>
      <vertAlign val="subscript"/>
      <sz val="12"/>
      <color indexed="8"/>
      <name val="Calibri"/>
      <family val="2"/>
    </font>
    <font>
      <sz val="11"/>
      <name val="Calibr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0"/>
      <color theme="11"/>
      <name val="Arial"/>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2"/>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45"/>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
      <left/>
      <right style="thin"/>
      <top/>
      <bottom/>
    </border>
    <border>
      <left style="thin"/>
      <right/>
      <top/>
      <bottom/>
    </border>
    <border>
      <left style="thin"/>
      <right/>
      <top/>
      <bottom style="thin"/>
    </border>
    <border>
      <left/>
      <right style="thin"/>
      <top/>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right/>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xf numFmtId="172"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0" xfId="0" applyFont="1" applyFill="1" applyBorder="1" applyAlignment="1">
      <alignment horizontal="center"/>
    </xf>
    <xf numFmtId="0" fontId="0" fillId="0" borderId="13" xfId="0" applyBorder="1" applyAlignment="1">
      <alignment/>
    </xf>
    <xf numFmtId="0" fontId="0" fillId="0" borderId="0" xfId="0" applyFont="1" applyAlignment="1">
      <alignment horizontal="center"/>
    </xf>
    <xf numFmtId="0" fontId="0" fillId="0" borderId="10" xfId="0" applyFont="1" applyBorder="1" applyAlignment="1" quotePrefix="1">
      <alignment horizontal="center"/>
    </xf>
    <xf numFmtId="0" fontId="0" fillId="0" borderId="0" xfId="0" applyFill="1" applyBorder="1" applyAlignment="1">
      <alignment/>
    </xf>
    <xf numFmtId="0" fontId="0" fillId="0" borderId="0" xfId="0" applyFont="1" applyBorder="1" applyAlignment="1">
      <alignment horizontal="center"/>
    </xf>
    <xf numFmtId="0" fontId="0" fillId="0" borderId="10" xfId="0" applyFill="1" applyBorder="1" applyAlignment="1">
      <alignment/>
    </xf>
    <xf numFmtId="0" fontId="0" fillId="0" borderId="10"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7" fontId="0" fillId="0" borderId="0" xfId="0" applyNumberFormat="1" applyAlignment="1">
      <alignment/>
    </xf>
    <xf numFmtId="17" fontId="0" fillId="0" borderId="19" xfId="0" applyNumberFormat="1" applyBorder="1" applyAlignment="1">
      <alignment/>
    </xf>
    <xf numFmtId="0" fontId="0" fillId="0" borderId="19" xfId="0" applyFill="1" applyBorder="1" applyAlignment="1">
      <alignment/>
    </xf>
    <xf numFmtId="17" fontId="0" fillId="0" borderId="10" xfId="0" applyNumberFormat="1" applyBorder="1" applyAlignment="1">
      <alignment/>
    </xf>
    <xf numFmtId="0" fontId="0" fillId="0" borderId="10" xfId="0" applyFont="1" applyFill="1" applyBorder="1" applyAlignment="1">
      <alignment wrapText="1"/>
    </xf>
    <xf numFmtId="0" fontId="0" fillId="0" borderId="16" xfId="0" applyFill="1" applyBorder="1" applyAlignment="1">
      <alignment/>
    </xf>
    <xf numFmtId="0" fontId="6" fillId="0" borderId="0" xfId="0" applyFont="1" applyAlignment="1">
      <alignment/>
    </xf>
    <xf numFmtId="14" fontId="1" fillId="0" borderId="0" xfId="0" applyNumberFormat="1" applyFont="1" applyAlignment="1">
      <alignment/>
    </xf>
    <xf numFmtId="14" fontId="0" fillId="0" borderId="0" xfId="0" applyNumberFormat="1" applyAlignment="1">
      <alignment/>
    </xf>
    <xf numFmtId="0" fontId="0" fillId="0" borderId="16" xfId="0" applyBorder="1" applyAlignment="1">
      <alignment horizontal="center"/>
    </xf>
    <xf numFmtId="0" fontId="3" fillId="33" borderId="0" xfId="0" applyFont="1" applyFill="1" applyAlignment="1">
      <alignment/>
    </xf>
    <xf numFmtId="0" fontId="0" fillId="33" borderId="0" xfId="0" applyFill="1" applyAlignment="1">
      <alignment/>
    </xf>
    <xf numFmtId="49" fontId="0" fillId="0" borderId="0" xfId="0" applyNumberFormat="1" applyFont="1" applyAlignment="1">
      <alignment horizontal="center"/>
    </xf>
    <xf numFmtId="0" fontId="0" fillId="0" borderId="0" xfId="0" applyFont="1" applyAlignment="1">
      <alignment horizontal="left"/>
    </xf>
    <xf numFmtId="0" fontId="0" fillId="0" borderId="22" xfId="0" applyBorder="1" applyAlignment="1">
      <alignment horizontal="center"/>
    </xf>
    <xf numFmtId="0" fontId="0" fillId="0" borderId="22" xfId="0" applyFont="1" applyBorder="1" applyAlignment="1">
      <alignment horizontal="center"/>
    </xf>
    <xf numFmtId="0" fontId="0" fillId="0" borderId="22" xfId="0" applyBorder="1" applyAlignment="1">
      <alignment/>
    </xf>
    <xf numFmtId="0" fontId="0" fillId="0" borderId="22" xfId="0" applyFont="1" applyBorder="1" applyAlignment="1">
      <alignment/>
    </xf>
    <xf numFmtId="0" fontId="0" fillId="0" borderId="11" xfId="0"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23" xfId="0"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0" fillId="0" borderId="0" xfId="0" applyFill="1" applyBorder="1" applyAlignment="1">
      <alignment horizontal="center"/>
    </xf>
    <xf numFmtId="0" fontId="0" fillId="0" borderId="0" xfId="0" applyFont="1" applyFill="1" applyBorder="1" applyAlignment="1">
      <alignment/>
    </xf>
    <xf numFmtId="49" fontId="0" fillId="0" borderId="10" xfId="0" applyNumberFormat="1" applyFont="1" applyBorder="1" applyAlignment="1">
      <alignment horizontal="center"/>
    </xf>
    <xf numFmtId="49" fontId="0" fillId="0" borderId="22" xfId="0" applyNumberFormat="1" applyFont="1" applyBorder="1" applyAlignment="1">
      <alignment horizontal="center"/>
    </xf>
    <xf numFmtId="49" fontId="0" fillId="0" borderId="11" xfId="0" applyNumberFormat="1" applyFont="1" applyBorder="1" applyAlignment="1">
      <alignment horizontal="center"/>
    </xf>
    <xf numFmtId="49" fontId="0" fillId="0" borderId="23" xfId="0" applyNumberFormat="1" applyFont="1" applyBorder="1" applyAlignment="1">
      <alignment horizontal="center"/>
    </xf>
    <xf numFmtId="17" fontId="0" fillId="0" borderId="0" xfId="0" applyNumberFormat="1" applyFont="1" applyAlignment="1" quotePrefix="1">
      <alignment horizontal="center"/>
    </xf>
    <xf numFmtId="0" fontId="0" fillId="0" borderId="0" xfId="0" applyFont="1" applyAlignment="1" quotePrefix="1">
      <alignment horizontal="center"/>
    </xf>
    <xf numFmtId="14" fontId="0" fillId="0" borderId="0" xfId="0" applyNumberFormat="1" applyFont="1" applyBorder="1" applyAlignment="1">
      <alignment horizontal="center"/>
    </xf>
    <xf numFmtId="9" fontId="0" fillId="0" borderId="0" xfId="0" applyNumberFormat="1" applyAlignment="1">
      <alignment horizontal="center"/>
    </xf>
    <xf numFmtId="9" fontId="0" fillId="0" borderId="22" xfId="0" applyNumberFormat="1" applyBorder="1" applyAlignment="1">
      <alignment horizontal="center"/>
    </xf>
    <xf numFmtId="9" fontId="0" fillId="0" borderId="11" xfId="0" applyNumberFormat="1" applyBorder="1" applyAlignment="1">
      <alignment horizontal="center"/>
    </xf>
    <xf numFmtId="9" fontId="0" fillId="0" borderId="10" xfId="0" applyNumberFormat="1" applyBorder="1" applyAlignment="1">
      <alignment horizontal="center"/>
    </xf>
    <xf numFmtId="9" fontId="0" fillId="0" borderId="23" xfId="0" applyNumberFormat="1" applyBorder="1" applyAlignment="1">
      <alignment horizontal="center"/>
    </xf>
    <xf numFmtId="0" fontId="0" fillId="0" borderId="24" xfId="0" applyFont="1" applyBorder="1"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10" xfId="0" applyFont="1" applyFill="1" applyBorder="1" applyAlignment="1">
      <alignment horizontal="left"/>
    </xf>
    <xf numFmtId="175" fontId="0" fillId="0" borderId="0" xfId="0" applyNumberFormat="1" applyAlignment="1">
      <alignment horizontal="center"/>
    </xf>
    <xf numFmtId="0" fontId="7" fillId="0" borderId="0" xfId="0" applyFont="1" applyAlignment="1">
      <alignment/>
    </xf>
    <xf numFmtId="0" fontId="7" fillId="0" borderId="10" xfId="0" applyFont="1" applyBorder="1" applyAlignment="1">
      <alignment/>
    </xf>
    <xf numFmtId="0" fontId="9"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center"/>
    </xf>
    <xf numFmtId="0" fontId="10" fillId="0" borderId="0" xfId="0" applyFont="1" applyAlignment="1">
      <alignment/>
    </xf>
    <xf numFmtId="0" fontId="0" fillId="0" borderId="23" xfId="0" applyBorder="1" applyAlignment="1">
      <alignment/>
    </xf>
    <xf numFmtId="9" fontId="0" fillId="0" borderId="0" xfId="0" applyNumberFormat="1" applyBorder="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3" fontId="7" fillId="0" borderId="0" xfId="0" applyNumberFormat="1" applyFont="1" applyAlignment="1">
      <alignment horizontal="center"/>
    </xf>
    <xf numFmtId="0" fontId="0" fillId="0" borderId="19" xfId="0" applyFont="1" applyBorder="1" applyAlignment="1">
      <alignment horizontal="center"/>
    </xf>
    <xf numFmtId="9" fontId="0" fillId="0" borderId="19" xfId="0" applyNumberFormat="1" applyBorder="1" applyAlignment="1">
      <alignment horizontal="center"/>
    </xf>
    <xf numFmtId="0" fontId="0" fillId="0" borderId="19" xfId="0" applyFont="1" applyFill="1" applyBorder="1" applyAlignment="1">
      <alignment/>
    </xf>
    <xf numFmtId="4" fontId="7" fillId="0" borderId="0" xfId="0" applyNumberFormat="1" applyFont="1" applyAlignment="1">
      <alignment horizontal="center"/>
    </xf>
    <xf numFmtId="9" fontId="0" fillId="0" borderId="0" xfId="0" applyNumberFormat="1" applyFill="1" applyBorder="1" applyAlignment="1">
      <alignment horizontal="center"/>
    </xf>
    <xf numFmtId="0" fontId="0" fillId="0" borderId="0" xfId="0" applyFont="1" applyFill="1" applyBorder="1" applyAlignment="1" quotePrefix="1">
      <alignment horizontal="center"/>
    </xf>
    <xf numFmtId="2" fontId="0" fillId="0" borderId="0" xfId="0" applyNumberFormat="1" applyBorder="1" applyAlignment="1">
      <alignment horizontal="center"/>
    </xf>
    <xf numFmtId="0" fontId="11" fillId="0" borderId="0" xfId="0" applyFont="1" applyAlignment="1">
      <alignment/>
    </xf>
    <xf numFmtId="0" fontId="7" fillId="0" borderId="0" xfId="0" applyFont="1" applyFill="1" applyAlignment="1">
      <alignment horizontal="center"/>
    </xf>
    <xf numFmtId="0" fontId="8" fillId="0" borderId="0" xfId="0" applyFont="1" applyAlignment="1">
      <alignment/>
    </xf>
    <xf numFmtId="0" fontId="7" fillId="0" borderId="0" xfId="0" applyFont="1" applyFill="1" applyAlignment="1">
      <alignment/>
    </xf>
    <xf numFmtId="3" fontId="9" fillId="0" borderId="0" xfId="0" applyNumberFormat="1" applyFont="1" applyAlignment="1">
      <alignment horizontal="center" wrapText="1"/>
    </xf>
    <xf numFmtId="171" fontId="9" fillId="0" borderId="0" xfId="0" applyNumberFormat="1" applyFont="1" applyAlignment="1">
      <alignment horizontal="center" wrapText="1"/>
    </xf>
    <xf numFmtId="0" fontId="0" fillId="0" borderId="0" xfId="0" applyFont="1" applyAlignment="1">
      <alignment horizontal="center"/>
    </xf>
    <xf numFmtId="0" fontId="14" fillId="0" borderId="0" xfId="0" applyFont="1" applyAlignment="1">
      <alignment/>
    </xf>
    <xf numFmtId="11" fontId="7" fillId="0" borderId="0" xfId="0" applyNumberFormat="1" applyFont="1" applyFill="1" applyAlignment="1">
      <alignment horizontal="center"/>
    </xf>
    <xf numFmtId="3" fontId="9" fillId="0" borderId="0" xfId="0" applyNumberFormat="1" applyFont="1" applyFill="1" applyAlignment="1">
      <alignment horizontal="center"/>
    </xf>
    <xf numFmtId="2" fontId="7" fillId="0" borderId="0" xfId="0" applyNumberFormat="1" applyFont="1" applyFill="1" applyAlignment="1">
      <alignment horizontal="center"/>
    </xf>
    <xf numFmtId="170" fontId="7" fillId="0" borderId="0" xfId="0" applyNumberFormat="1" applyFont="1" applyFill="1" applyAlignment="1">
      <alignment horizontal="center"/>
    </xf>
    <xf numFmtId="0" fontId="13" fillId="0" borderId="0" xfId="0" applyFont="1" applyAlignment="1">
      <alignment/>
    </xf>
    <xf numFmtId="2" fontId="0" fillId="0" borderId="0" xfId="0" applyNumberFormat="1" applyAlignment="1">
      <alignment horizontal="center"/>
    </xf>
    <xf numFmtId="2" fontId="0" fillId="0" borderId="19" xfId="0" applyNumberFormat="1" applyBorder="1" applyAlignment="1">
      <alignment horizontal="center"/>
    </xf>
    <xf numFmtId="4" fontId="7" fillId="0" borderId="0" xfId="0" applyNumberFormat="1" applyFont="1" applyBorder="1" applyAlignment="1">
      <alignment horizontal="center"/>
    </xf>
    <xf numFmtId="3" fontId="7" fillId="0" borderId="10" xfId="0" applyNumberFormat="1" applyFont="1" applyBorder="1" applyAlignment="1">
      <alignment horizontal="center" wrapText="1"/>
    </xf>
    <xf numFmtId="2" fontId="7" fillId="0" borderId="10" xfId="0" applyNumberFormat="1" applyFont="1" applyBorder="1" applyAlignment="1">
      <alignment horizontal="center" wrapText="1"/>
    </xf>
    <xf numFmtId="3" fontId="7" fillId="0" borderId="0" xfId="0" applyNumberFormat="1" applyFont="1" applyBorder="1" applyAlignment="1">
      <alignment horizontal="center"/>
    </xf>
    <xf numFmtId="4" fontId="7" fillId="0" borderId="10" xfId="0" applyNumberFormat="1" applyFont="1" applyBorder="1" applyAlignment="1">
      <alignment horizontal="center" wrapText="1"/>
    </xf>
    <xf numFmtId="3" fontId="7" fillId="0" borderId="10" xfId="0" applyNumberFormat="1" applyFont="1" applyBorder="1" applyAlignment="1">
      <alignment horizontal="center"/>
    </xf>
    <xf numFmtId="4" fontId="7" fillId="0" borderId="10" xfId="0" applyNumberFormat="1" applyFont="1" applyBorder="1" applyAlignment="1">
      <alignment horizontal="center"/>
    </xf>
    <xf numFmtId="3" fontId="7" fillId="0" borderId="10" xfId="0" applyNumberFormat="1" applyFont="1" applyFill="1" applyBorder="1" applyAlignment="1">
      <alignment horizontal="center"/>
    </xf>
    <xf numFmtId="4" fontId="0" fillId="0" borderId="0" xfId="0" applyNumberFormat="1" applyAlignment="1">
      <alignment horizontal="center"/>
    </xf>
    <xf numFmtId="0" fontId="0" fillId="34" borderId="0" xfId="0" applyFont="1" applyFill="1" applyAlignment="1">
      <alignment/>
    </xf>
    <xf numFmtId="0" fontId="0" fillId="34" borderId="0" xfId="0" applyFill="1" applyAlignment="1">
      <alignment/>
    </xf>
    <xf numFmtId="0" fontId="0" fillId="34" borderId="0" xfId="0" applyFont="1" applyFill="1" applyAlignment="1">
      <alignment horizontal="center"/>
    </xf>
    <xf numFmtId="10" fontId="0" fillId="0" borderId="0" xfId="0" applyNumberFormat="1" applyAlignment="1">
      <alignment horizontal="center"/>
    </xf>
    <xf numFmtId="9" fontId="0" fillId="0" borderId="0" xfId="0" applyNumberFormat="1" applyAlignment="1">
      <alignment/>
    </xf>
    <xf numFmtId="10" fontId="0" fillId="0" borderId="0" xfId="0" applyNumberFormat="1" applyFont="1" applyAlignment="1">
      <alignment horizontal="center"/>
    </xf>
    <xf numFmtId="17" fontId="0" fillId="0" borderId="0" xfId="0" applyNumberFormat="1" applyBorder="1" applyAlignment="1">
      <alignment/>
    </xf>
    <xf numFmtId="15" fontId="0" fillId="0" borderId="0" xfId="0" applyNumberFormat="1" applyFont="1" applyFill="1" applyBorder="1" applyAlignment="1">
      <alignment horizontal="center"/>
    </xf>
    <xf numFmtId="17" fontId="0" fillId="0" borderId="0" xfId="0" applyNumberFormat="1" applyFont="1" applyAlignment="1">
      <alignment/>
    </xf>
    <xf numFmtId="2" fontId="0" fillId="0" borderId="11" xfId="0" applyNumberFormat="1" applyBorder="1" applyAlignment="1">
      <alignment horizontal="center"/>
    </xf>
    <xf numFmtId="0" fontId="0" fillId="0" borderId="11" xfId="0" applyFill="1" applyBorder="1" applyAlignment="1">
      <alignment horizontal="center"/>
    </xf>
    <xf numFmtId="175" fontId="0" fillId="0" borderId="11" xfId="0" applyNumberFormat="1" applyBorder="1" applyAlignment="1">
      <alignment horizontal="center"/>
    </xf>
    <xf numFmtId="14" fontId="0" fillId="0" borderId="11" xfId="0" applyNumberFormat="1" applyBorder="1" applyAlignment="1">
      <alignment/>
    </xf>
    <xf numFmtId="0" fontId="0" fillId="0" borderId="11" xfId="0" applyFont="1" applyFill="1" applyBorder="1" applyAlignment="1">
      <alignment/>
    </xf>
    <xf numFmtId="17" fontId="9" fillId="0" borderId="0" xfId="0" applyNumberFormat="1" applyFont="1" applyAlignment="1" quotePrefix="1">
      <alignment/>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4" fontId="7" fillId="0" borderId="11" xfId="0" applyNumberFormat="1" applyFont="1" applyBorder="1" applyAlignment="1">
      <alignment horizontal="center" vertical="center"/>
    </xf>
    <xf numFmtId="3" fontId="7" fillId="0" borderId="0" xfId="0" applyNumberFormat="1" applyFont="1" applyAlignment="1">
      <alignment horizontal="center" vertical="center"/>
    </xf>
    <xf numFmtId="4" fontId="7" fillId="0" borderId="0" xfId="0" applyNumberFormat="1" applyFont="1" applyBorder="1" applyAlignment="1">
      <alignment horizontal="center" vertical="center"/>
    </xf>
    <xf numFmtId="4" fontId="7" fillId="0" borderId="10" xfId="0" applyNumberFormat="1" applyFont="1" applyBorder="1" applyAlignment="1">
      <alignment horizontal="center" vertical="center"/>
    </xf>
    <xf numFmtId="0" fontId="7" fillId="0" borderId="0" xfId="0" applyFont="1" applyBorder="1" applyAlignment="1">
      <alignment/>
    </xf>
    <xf numFmtId="4" fontId="0" fillId="0" borderId="0" xfId="0" applyNumberFormat="1" applyFill="1" applyAlignment="1">
      <alignment horizontal="center"/>
    </xf>
    <xf numFmtId="2" fontId="0" fillId="0" borderId="10" xfId="0" applyNumberFormat="1" applyBorder="1" applyAlignment="1">
      <alignment horizontal="center"/>
    </xf>
    <xf numFmtId="0" fontId="0" fillId="0" borderId="23" xfId="0" applyFont="1" applyFill="1" applyBorder="1" applyAlignment="1">
      <alignment horizontal="center"/>
    </xf>
    <xf numFmtId="2" fontId="0" fillId="0" borderId="23" xfId="0" applyNumberFormat="1" applyBorder="1" applyAlignment="1">
      <alignment horizontal="center"/>
    </xf>
    <xf numFmtId="0" fontId="0" fillId="0" borderId="23" xfId="0" applyFill="1" applyBorder="1" applyAlignment="1">
      <alignment horizontal="center"/>
    </xf>
    <xf numFmtId="175" fontId="0" fillId="0" borderId="23" xfId="0" applyNumberFormat="1" applyBorder="1" applyAlignment="1">
      <alignment horizontal="center"/>
    </xf>
    <xf numFmtId="17" fontId="0" fillId="0" borderId="23" xfId="0" applyNumberFormat="1" applyFont="1" applyBorder="1" applyAlignment="1">
      <alignment/>
    </xf>
    <xf numFmtId="0" fontId="0" fillId="0" borderId="23" xfId="0" applyFont="1" applyFill="1" applyBorder="1" applyAlignment="1">
      <alignment/>
    </xf>
    <xf numFmtId="0" fontId="0" fillId="0" borderId="0" xfId="0" applyFont="1" applyBorder="1" applyAlignment="1">
      <alignment horizontal="right"/>
    </xf>
    <xf numFmtId="0" fontId="0" fillId="0" borderId="0" xfId="0" applyFont="1" applyAlignment="1">
      <alignment horizontal="right"/>
    </xf>
    <xf numFmtId="171" fontId="1" fillId="35" borderId="0" xfId="0" applyNumberFormat="1" applyFont="1" applyFill="1" applyAlignment="1">
      <alignment horizontal="center"/>
    </xf>
    <xf numFmtId="0" fontId="1" fillId="0" borderId="0" xfId="0" applyFont="1" applyAlignment="1">
      <alignment horizontal="center"/>
    </xf>
    <xf numFmtId="0" fontId="1" fillId="0" borderId="10" xfId="0" applyFont="1" applyBorder="1" applyAlignment="1">
      <alignment/>
    </xf>
    <xf numFmtId="0" fontId="1" fillId="0" borderId="10" xfId="0" applyFont="1" applyBorder="1" applyAlignment="1">
      <alignment horizontal="center"/>
    </xf>
    <xf numFmtId="3" fontId="10" fillId="0" borderId="0" xfId="0" applyNumberFormat="1" applyFont="1" applyAlignment="1">
      <alignment horizontal="center"/>
    </xf>
    <xf numFmtId="3" fontId="1" fillId="0" borderId="0" xfId="0" applyNumberFormat="1" applyFont="1" applyAlignment="1">
      <alignment horizontal="center"/>
    </xf>
    <xf numFmtId="3" fontId="1" fillId="0" borderId="10" xfId="0" applyNumberFormat="1" applyFont="1" applyBorder="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49" fontId="0" fillId="0" borderId="0" xfId="0" applyNumberFormat="1" applyAlignment="1">
      <alignment/>
    </xf>
    <xf numFmtId="49" fontId="1" fillId="0" borderId="0" xfId="0" applyNumberFormat="1" applyFont="1" applyAlignment="1">
      <alignment/>
    </xf>
    <xf numFmtId="49" fontId="1" fillId="0" borderId="10" xfId="0" applyNumberFormat="1" applyFont="1" applyBorder="1" applyAlignment="1">
      <alignment/>
    </xf>
    <xf numFmtId="49" fontId="0" fillId="0" borderId="0" xfId="0" applyNumberFormat="1" applyFont="1" applyAlignment="1">
      <alignment/>
    </xf>
    <xf numFmtId="3" fontId="0" fillId="0" borderId="0" xfId="0" applyNumberFormat="1" applyFont="1" applyAlignment="1" quotePrefix="1">
      <alignment horizontal="center"/>
    </xf>
    <xf numFmtId="0" fontId="0" fillId="0" borderId="25" xfId="0" applyFill="1" applyBorder="1" applyAlignment="1">
      <alignment horizontal="center"/>
    </xf>
    <xf numFmtId="9" fontId="0" fillId="0" borderId="0" xfId="0" applyNumberFormat="1" applyFill="1" applyAlignment="1">
      <alignment horizontal="center"/>
    </xf>
    <xf numFmtId="49" fontId="0" fillId="0" borderId="0" xfId="0" applyNumberFormat="1" applyFont="1" applyFill="1" applyAlignment="1">
      <alignment horizontal="center"/>
    </xf>
    <xf numFmtId="0" fontId="0" fillId="0" borderId="0" xfId="0" applyFont="1" applyFill="1" applyAlignment="1">
      <alignment/>
    </xf>
    <xf numFmtId="0" fontId="0" fillId="0" borderId="26" xfId="0" applyFill="1" applyBorder="1" applyAlignment="1">
      <alignment horizontal="center"/>
    </xf>
    <xf numFmtId="0" fontId="0" fillId="0" borderId="27" xfId="0" applyFill="1" applyBorder="1" applyAlignment="1">
      <alignment horizontal="center"/>
    </xf>
    <xf numFmtId="49" fontId="0" fillId="0" borderId="0" xfId="0" applyNumberFormat="1" applyFont="1" applyFill="1" applyBorder="1" applyAlignment="1">
      <alignment horizontal="center"/>
    </xf>
    <xf numFmtId="17" fontId="0" fillId="0" borderId="0" xfId="0" applyNumberFormat="1" applyFont="1" applyFill="1" applyBorder="1" applyAlignment="1" quotePrefix="1">
      <alignment horizontal="center"/>
    </xf>
    <xf numFmtId="175" fontId="0" fillId="0" borderId="0" xfId="0" applyNumberFormat="1" applyFill="1" applyBorder="1" applyAlignment="1">
      <alignment horizontal="center"/>
    </xf>
    <xf numFmtId="4" fontId="0" fillId="0" borderId="19" xfId="0" applyNumberFormat="1" applyFill="1" applyBorder="1" applyAlignment="1">
      <alignment horizontal="center"/>
    </xf>
    <xf numFmtId="175" fontId="0" fillId="0" borderId="19" xfId="0" applyNumberFormat="1" applyFill="1" applyBorder="1" applyAlignment="1">
      <alignment horizontal="center"/>
    </xf>
    <xf numFmtId="175" fontId="0" fillId="0" borderId="0" xfId="0" applyNumberFormat="1" applyFill="1" applyAlignment="1">
      <alignment horizontal="center"/>
    </xf>
    <xf numFmtId="2" fontId="0" fillId="0" borderId="0" xfId="0" applyNumberFormat="1" applyFill="1" applyAlignment="1">
      <alignment horizontal="center"/>
    </xf>
    <xf numFmtId="9" fontId="0" fillId="0" borderId="0" xfId="0" applyNumberFormat="1" applyFont="1" applyFill="1" applyBorder="1" applyAlignment="1">
      <alignment horizontal="center"/>
    </xf>
    <xf numFmtId="0" fontId="0" fillId="0" borderId="0" xfId="0" applyFont="1" applyFill="1" applyBorder="1" applyAlignment="1">
      <alignment horizontal="left"/>
    </xf>
    <xf numFmtId="3" fontId="0" fillId="34" borderId="0" xfId="0" applyNumberFormat="1" applyFont="1" applyFill="1" applyAlignment="1">
      <alignment horizontal="center"/>
    </xf>
    <xf numFmtId="4" fontId="0" fillId="0" borderId="0" xfId="0" applyNumberFormat="1" applyFont="1" applyAlignment="1">
      <alignment horizontal="center"/>
    </xf>
    <xf numFmtId="171" fontId="0" fillId="0" borderId="0" xfId="0" applyNumberFormat="1" applyFont="1" applyAlignment="1">
      <alignment horizontal="center"/>
    </xf>
    <xf numFmtId="49" fontId="0" fillId="0" borderId="0" xfId="0" applyNumberFormat="1" applyAlignment="1">
      <alignment horizontal="center"/>
    </xf>
    <xf numFmtId="49" fontId="1" fillId="0" borderId="0" xfId="0" applyNumberFormat="1" applyFont="1" applyAlignment="1">
      <alignment horizontal="center"/>
    </xf>
    <xf numFmtId="49" fontId="1" fillId="0" borderId="10" xfId="0" applyNumberFormat="1" applyFont="1" applyBorder="1" applyAlignment="1">
      <alignment horizontal="center"/>
    </xf>
    <xf numFmtId="171" fontId="7" fillId="0" borderId="0" xfId="0" applyNumberFormat="1" applyFont="1" applyFill="1" applyAlignment="1">
      <alignment horizontal="center"/>
    </xf>
    <xf numFmtId="0" fontId="0" fillId="36" borderId="0" xfId="0" applyFont="1" applyFill="1" applyBorder="1" applyAlignment="1">
      <alignment/>
    </xf>
    <xf numFmtId="0" fontId="0" fillId="36" borderId="0" xfId="0" applyFont="1" applyFill="1" applyAlignment="1">
      <alignment/>
    </xf>
    <xf numFmtId="49" fontId="0" fillId="37" borderId="0" xfId="0" applyNumberFormat="1" applyFont="1" applyFill="1" applyAlignment="1">
      <alignment horizontal="center"/>
    </xf>
    <xf numFmtId="0" fontId="1" fillId="0" borderId="0" xfId="0" applyFont="1" applyAlignment="1">
      <alignment horizontal="left"/>
    </xf>
    <xf numFmtId="14" fontId="0" fillId="0" borderId="0" xfId="0" applyNumberFormat="1" applyFont="1" applyAlignment="1">
      <alignment horizontal="left"/>
    </xf>
    <xf numFmtId="0" fontId="0" fillId="37" borderId="0" xfId="0" applyFont="1" applyFill="1" applyAlignment="1">
      <alignment/>
    </xf>
    <xf numFmtId="49" fontId="0" fillId="37" borderId="0" xfId="0" applyNumberFormat="1" applyFont="1" applyFill="1" applyAlignment="1">
      <alignment/>
    </xf>
    <xf numFmtId="49" fontId="0" fillId="36" borderId="0" xfId="0" applyNumberFormat="1" applyFont="1" applyFill="1" applyAlignment="1">
      <alignment/>
    </xf>
    <xf numFmtId="0" fontId="7" fillId="0" borderId="0" xfId="0" applyNumberFormat="1" applyFont="1" applyAlignment="1">
      <alignment/>
    </xf>
    <xf numFmtId="0" fontId="9" fillId="0" borderId="0" xfId="0" applyFont="1" applyFill="1" applyAlignment="1">
      <alignment/>
    </xf>
    <xf numFmtId="3" fontId="0" fillId="0" borderId="10" xfId="0" applyNumberFormat="1" applyFont="1" applyBorder="1" applyAlignment="1">
      <alignment horizontal="center"/>
    </xf>
    <xf numFmtId="0" fontId="0" fillId="34" borderId="0" xfId="0" applyFont="1" applyFill="1" applyAlignment="1">
      <alignment horizontal="left"/>
    </xf>
    <xf numFmtId="3" fontId="0" fillId="34" borderId="0" xfId="0" applyNumberFormat="1" applyFont="1" applyFill="1" applyAlignment="1">
      <alignment horizontal="left"/>
    </xf>
    <xf numFmtId="3" fontId="0" fillId="0" borderId="10" xfId="0" applyNumberFormat="1" applyFont="1" applyBorder="1" applyAlignment="1">
      <alignment horizontal="left"/>
    </xf>
    <xf numFmtId="3" fontId="0" fillId="0" borderId="10" xfId="0" applyNumberFormat="1" applyBorder="1" applyAlignment="1">
      <alignment horizontal="center"/>
    </xf>
    <xf numFmtId="1" fontId="0" fillId="0" borderId="0" xfId="0" applyNumberFormat="1" applyFont="1" applyAlignment="1">
      <alignment horizontal="center"/>
    </xf>
    <xf numFmtId="0" fontId="19" fillId="0" borderId="0" xfId="0" applyFont="1" applyAlignment="1">
      <alignment/>
    </xf>
    <xf numFmtId="3" fontId="19" fillId="0" borderId="0" xfId="0" applyNumberFormat="1" applyFont="1" applyAlignment="1">
      <alignment horizontal="center"/>
    </xf>
    <xf numFmtId="0" fontId="19" fillId="0" borderId="0" xfId="0" applyFont="1" applyAlignment="1">
      <alignment horizontal="center"/>
    </xf>
    <xf numFmtId="49" fontId="19" fillId="0" borderId="0" xfId="0" applyNumberFormat="1" applyFont="1" applyAlignment="1">
      <alignment/>
    </xf>
    <xf numFmtId="49" fontId="19" fillId="0" borderId="0" xfId="0" applyNumberFormat="1" applyFont="1" applyAlignment="1">
      <alignment horizontal="center"/>
    </xf>
    <xf numFmtId="0" fontId="19" fillId="0" borderId="0" xfId="0" applyFont="1" applyAlignment="1">
      <alignment horizontal="left"/>
    </xf>
    <xf numFmtId="0" fontId="19" fillId="0" borderId="10" xfId="0" applyFont="1" applyBorder="1" applyAlignment="1">
      <alignment/>
    </xf>
    <xf numFmtId="3" fontId="19" fillId="0" borderId="10" xfId="0" applyNumberFormat="1" applyFont="1" applyBorder="1" applyAlignment="1">
      <alignment horizontal="center"/>
    </xf>
    <xf numFmtId="0" fontId="19" fillId="0" borderId="10" xfId="0" applyFont="1" applyBorder="1" applyAlignment="1">
      <alignment horizontal="center"/>
    </xf>
    <xf numFmtId="9" fontId="19" fillId="0" borderId="0" xfId="0" applyNumberFormat="1" applyFont="1" applyAlignment="1">
      <alignment/>
    </xf>
    <xf numFmtId="0" fontId="19" fillId="0" borderId="14" xfId="0" applyFont="1" applyBorder="1" applyAlignment="1">
      <alignment horizontal="center"/>
    </xf>
    <xf numFmtId="0" fontId="19" fillId="0" borderId="13" xfId="0" applyFont="1" applyBorder="1" applyAlignment="1">
      <alignment horizontal="center"/>
    </xf>
    <xf numFmtId="49" fontId="19" fillId="0" borderId="13" xfId="0" applyNumberFormat="1" applyFont="1" applyBorder="1" applyAlignment="1">
      <alignment horizontal="center"/>
    </xf>
    <xf numFmtId="0" fontId="19" fillId="0" borderId="15" xfId="0" applyFont="1" applyBorder="1" applyAlignment="1">
      <alignment horizontal="center"/>
    </xf>
    <xf numFmtId="49" fontId="19" fillId="0" borderId="12" xfId="0" applyNumberFormat="1" applyFont="1" applyBorder="1" applyAlignment="1">
      <alignment horizontal="center"/>
    </xf>
    <xf numFmtId="0" fontId="19" fillId="0" borderId="12" xfId="0" applyFont="1" applyBorder="1" applyAlignment="1">
      <alignment horizontal="center"/>
    </xf>
    <xf numFmtId="0" fontId="19" fillId="0" borderId="28" xfId="0" applyFont="1" applyBorder="1" applyAlignment="1">
      <alignment horizontal="center"/>
    </xf>
    <xf numFmtId="16" fontId="0" fillId="0" borderId="0" xfId="0" applyNumberFormat="1" applyAlignment="1" quotePrefix="1">
      <alignment horizontal="center"/>
    </xf>
    <xf numFmtId="14" fontId="0" fillId="0" borderId="0" xfId="0" applyNumberFormat="1" applyFont="1" applyAlignment="1">
      <alignment/>
    </xf>
    <xf numFmtId="0" fontId="0" fillId="0" borderId="0" xfId="0" applyNumberFormat="1" applyAlignment="1">
      <alignment/>
    </xf>
    <xf numFmtId="17" fontId="0" fillId="0" borderId="0" xfId="0" applyNumberFormat="1" applyFont="1" applyAlignment="1" quotePrefix="1">
      <alignment/>
    </xf>
    <xf numFmtId="49" fontId="0" fillId="0" borderId="0" xfId="0" applyNumberFormat="1" applyFont="1" applyFill="1" applyAlignment="1">
      <alignment/>
    </xf>
    <xf numFmtId="0" fontId="0" fillId="0" borderId="0" xfId="0" applyNumberFormat="1" applyFont="1" applyAlignment="1">
      <alignment/>
    </xf>
    <xf numFmtId="0" fontId="0" fillId="0" borderId="0" xfId="0" applyNumberFormat="1" applyFont="1" applyAlignment="1">
      <alignment/>
    </xf>
    <xf numFmtId="14" fontId="21" fillId="0" borderId="0" xfId="0" applyNumberFormat="1" applyFont="1" applyAlignment="1">
      <alignment horizontal="left"/>
    </xf>
    <xf numFmtId="0" fontId="22" fillId="0" borderId="0" xfId="0" applyFont="1" applyAlignment="1">
      <alignment/>
    </xf>
    <xf numFmtId="0" fontId="22" fillId="0" borderId="0" xfId="0" applyFont="1" applyAlignment="1">
      <alignment horizontal="center"/>
    </xf>
    <xf numFmtId="14" fontId="0" fillId="0" borderId="0" xfId="0" applyNumberFormat="1" applyFont="1" applyFill="1" applyBorder="1" applyAlignment="1">
      <alignment horizontal="center"/>
    </xf>
    <xf numFmtId="6" fontId="0" fillId="0" borderId="0" xfId="0" applyNumberFormat="1" applyAlignment="1">
      <alignment/>
    </xf>
    <xf numFmtId="6" fontId="0" fillId="0" borderId="0" xfId="0" applyNumberFormat="1" applyAlignment="1">
      <alignment horizontal="center"/>
    </xf>
    <xf numFmtId="8" fontId="0" fillId="0" borderId="0" xfId="0" applyNumberFormat="1" applyAlignment="1">
      <alignment/>
    </xf>
    <xf numFmtId="6" fontId="0" fillId="0" borderId="10" xfId="0" applyNumberFormat="1" applyBorder="1" applyAlignment="1">
      <alignment horizontal="center"/>
    </xf>
    <xf numFmtId="0" fontId="1" fillId="0" borderId="10" xfId="0" applyFont="1" applyFill="1" applyBorder="1" applyAlignment="1">
      <alignment horizontal="center"/>
    </xf>
    <xf numFmtId="177" fontId="0" fillId="0" borderId="10" xfId="0" applyNumberFormat="1" applyBorder="1" applyAlignment="1">
      <alignment/>
    </xf>
    <xf numFmtId="6" fontId="1" fillId="0" borderId="0" xfId="0" applyNumberFormat="1" applyFont="1" applyAlignment="1">
      <alignment/>
    </xf>
    <xf numFmtId="0" fontId="1" fillId="0" borderId="0" xfId="0" applyFont="1" applyBorder="1" applyAlignment="1">
      <alignment horizontal="center"/>
    </xf>
    <xf numFmtId="14" fontId="0" fillId="0" borderId="0" xfId="0" applyNumberFormat="1" applyFill="1" applyAlignment="1">
      <alignment horizontal="center"/>
    </xf>
    <xf numFmtId="0" fontId="10" fillId="0" borderId="0" xfId="0" applyFont="1" applyAlignment="1">
      <alignment horizontal="center"/>
    </xf>
    <xf numFmtId="6" fontId="0" fillId="0" borderId="0" xfId="0" applyNumberFormat="1" applyAlignment="1" quotePrefix="1">
      <alignment horizontal="center"/>
    </xf>
    <xf numFmtId="0" fontId="13" fillId="0" borderId="0" xfId="0" applyFont="1" applyBorder="1" applyAlignment="1">
      <alignment/>
    </xf>
    <xf numFmtId="0" fontId="1" fillId="0" borderId="0" xfId="0" applyFont="1" applyBorder="1" applyAlignment="1">
      <alignment/>
    </xf>
    <xf numFmtId="14" fontId="1"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xf>
    <xf numFmtId="14" fontId="0" fillId="0" borderId="0" xfId="0" applyNumberFormat="1" applyBorder="1" applyAlignment="1">
      <alignment/>
    </xf>
    <xf numFmtId="0" fontId="3" fillId="33" borderId="0" xfId="0" applyFont="1" applyFill="1" applyBorder="1" applyAlignment="1">
      <alignment/>
    </xf>
    <xf numFmtId="0" fontId="0" fillId="33" borderId="0" xfId="0" applyFill="1" applyBorder="1" applyAlignment="1">
      <alignment/>
    </xf>
    <xf numFmtId="0" fontId="0" fillId="0" borderId="0" xfId="0" applyFont="1" applyBorder="1" applyAlignment="1" quotePrefix="1">
      <alignment horizontal="center"/>
    </xf>
    <xf numFmtId="49" fontId="0" fillId="0" borderId="0" xfId="0" applyNumberFormat="1" applyFont="1" applyBorder="1" applyAlignment="1">
      <alignment horizontal="center"/>
    </xf>
    <xf numFmtId="17" fontId="0" fillId="0" borderId="0" xfId="0" applyNumberFormat="1" applyFont="1" applyBorder="1" applyAlignment="1" quotePrefix="1">
      <alignment horizontal="center"/>
    </xf>
    <xf numFmtId="175" fontId="0" fillId="0" borderId="0" xfId="0" applyNumberFormat="1" applyBorder="1" applyAlignment="1">
      <alignment horizontal="center"/>
    </xf>
    <xf numFmtId="0" fontId="0" fillId="0" borderId="0" xfId="0" applyFont="1" applyBorder="1" applyAlignment="1">
      <alignment horizontal="left"/>
    </xf>
    <xf numFmtId="46" fontId="0" fillId="0" borderId="0" xfId="0" applyNumberFormat="1" applyFill="1" applyAlignment="1">
      <alignment horizontal="center"/>
    </xf>
    <xf numFmtId="0" fontId="0" fillId="0" borderId="0" xfId="0" applyNumberFormat="1" applyFill="1" applyAlignment="1">
      <alignment horizontal="center"/>
    </xf>
    <xf numFmtId="0" fontId="0" fillId="0" borderId="0" xfId="0" applyNumberFormat="1" applyAlignment="1">
      <alignment horizontal="center"/>
    </xf>
    <xf numFmtId="0" fontId="22" fillId="0" borderId="0" xfId="0" applyNumberFormat="1" applyFont="1" applyAlignment="1">
      <alignment horizontal="center"/>
    </xf>
    <xf numFmtId="0" fontId="23" fillId="0" borderId="0" xfId="0" applyNumberFormat="1" applyFont="1" applyAlignment="1">
      <alignment/>
    </xf>
    <xf numFmtId="170" fontId="0" fillId="0" borderId="0" xfId="0" applyNumberFormat="1" applyAlignment="1">
      <alignment horizontal="center"/>
    </xf>
    <xf numFmtId="2" fontId="0" fillId="0" borderId="0" xfId="0" applyNumberFormat="1" applyFill="1" applyBorder="1" applyAlignment="1">
      <alignment horizontal="center"/>
    </xf>
    <xf numFmtId="172" fontId="0" fillId="0" borderId="0" xfId="0" applyNumberFormat="1" applyFill="1" applyAlignment="1">
      <alignment horizontal="center"/>
    </xf>
    <xf numFmtId="17" fontId="0" fillId="0" borderId="0" xfId="0" applyNumberFormat="1" applyFont="1" applyFill="1" applyAlignment="1" quotePrefix="1">
      <alignment horizontal="center"/>
    </xf>
    <xf numFmtId="0" fontId="0" fillId="0" borderId="19" xfId="0" applyFont="1" applyFill="1" applyBorder="1" applyAlignment="1">
      <alignment horizontal="center"/>
    </xf>
    <xf numFmtId="168" fontId="0" fillId="0"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lignment/>
    </xf>
    <xf numFmtId="0" fontId="0" fillId="38" borderId="0" xfId="0" applyFill="1" applyAlignment="1">
      <alignment/>
    </xf>
    <xf numFmtId="0" fontId="0" fillId="38" borderId="0" xfId="0" applyFont="1" applyFill="1" applyAlignment="1">
      <alignment horizontal="left"/>
    </xf>
    <xf numFmtId="170" fontId="0" fillId="0" borderId="0" xfId="0" applyNumberFormat="1" applyFill="1" applyAlignment="1">
      <alignment horizontal="center"/>
    </xf>
    <xf numFmtId="170" fontId="0" fillId="38" borderId="0" xfId="0" applyNumberFormat="1" applyFill="1" applyAlignment="1">
      <alignment horizontal="center"/>
    </xf>
    <xf numFmtId="0" fontId="0" fillId="0" borderId="0" xfId="0" applyFont="1" applyFill="1" applyAlignment="1" quotePrefix="1">
      <alignment horizontal="center"/>
    </xf>
    <xf numFmtId="0" fontId="0" fillId="38" borderId="0" xfId="0" applyFill="1" applyBorder="1" applyAlignment="1">
      <alignment horizontal="center"/>
    </xf>
    <xf numFmtId="49" fontId="0" fillId="38" borderId="0" xfId="0" applyNumberFormat="1" applyFont="1" applyFill="1" applyAlignment="1">
      <alignment horizontal="center"/>
    </xf>
    <xf numFmtId="171" fontId="0" fillId="38" borderId="0" xfId="0" applyNumberFormat="1" applyFill="1" applyAlignment="1">
      <alignment horizontal="center"/>
    </xf>
    <xf numFmtId="171" fontId="0" fillId="38" borderId="0" xfId="0" applyNumberFormat="1" applyFill="1" applyBorder="1" applyAlignment="1">
      <alignment horizontal="center"/>
    </xf>
    <xf numFmtId="49" fontId="0" fillId="38" borderId="0" xfId="0" applyNumberFormat="1" applyFont="1" applyFill="1" applyAlignment="1" quotePrefix="1">
      <alignment horizontal="center"/>
    </xf>
    <xf numFmtId="0" fontId="0" fillId="0" borderId="0" xfId="0" applyFont="1" applyAlignment="1" quotePrefix="1">
      <alignment/>
    </xf>
    <xf numFmtId="171" fontId="7" fillId="0" borderId="11" xfId="0" applyNumberFormat="1" applyFont="1" applyBorder="1" applyAlignment="1">
      <alignment horizontal="center" vertical="center"/>
    </xf>
    <xf numFmtId="171" fontId="7" fillId="0" borderId="0" xfId="0" applyNumberFormat="1" applyFont="1" applyAlignment="1">
      <alignment horizontal="center" vertical="center"/>
    </xf>
    <xf numFmtId="172" fontId="0" fillId="0" borderId="0" xfId="0" applyNumberFormat="1" applyFill="1" applyBorder="1" applyAlignment="1">
      <alignment horizontal="center"/>
    </xf>
    <xf numFmtId="17" fontId="0" fillId="0" borderId="19" xfId="0" applyNumberFormat="1" applyFont="1" applyFill="1" applyBorder="1" applyAlignment="1" quotePrefix="1">
      <alignment horizontal="center"/>
    </xf>
    <xf numFmtId="0" fontId="69" fillId="0" borderId="0" xfId="0" applyFont="1" applyAlignment="1">
      <alignment horizontal="center" vertical="center" readingOrder="1"/>
    </xf>
    <xf numFmtId="0" fontId="7" fillId="39" borderId="0" xfId="0" applyFont="1" applyFill="1" applyAlignment="1">
      <alignment/>
    </xf>
    <xf numFmtId="171" fontId="0" fillId="0" borderId="0" xfId="0" applyNumberFormat="1" applyFill="1" applyBorder="1" applyAlignment="1">
      <alignment horizont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0" fillId="0" borderId="13"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15"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045"/>
          <c:w val="0.9045"/>
          <c:h val="0.86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Alder!$F$9:$F$13</c:f>
              <c:numCache/>
            </c:numRef>
          </c:yVal>
          <c:smooth val="0"/>
        </c:ser>
        <c:axId val="46659152"/>
        <c:axId val="17279185"/>
      </c:scatterChart>
      <c:valAx>
        <c:axId val="46659152"/>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279185"/>
        <c:crosses val="autoZero"/>
        <c:crossBetween val="midCat"/>
        <c:dispUnits/>
        <c:majorUnit val="20"/>
      </c:valAx>
      <c:valAx>
        <c:axId val="17279185"/>
        <c:scaling>
          <c:orientation val="minMax"/>
        </c:scaling>
        <c:axPos val="l"/>
        <c:title>
          <c:tx>
            <c:rich>
              <a:bodyPr vert="horz" rot="-5400000" anchor="ctr"/>
              <a:lstStyle/>
              <a:p>
                <a:pPr algn="ctr">
                  <a:defRPr/>
                </a:pPr>
                <a:r>
                  <a:rPr lang="en-US" cap="none" sz="1200" b="1" i="0" u="none" baseline="0">
                    <a:solidFill>
                      <a:srgbClr val="000000"/>
                    </a:solidFill>
                  </a:rPr>
                  <a:t>VOC as propane  (lb/Mbf)</a:t>
                </a:r>
              </a:p>
            </c:rich>
          </c:tx>
          <c:layout>
            <c:manualLayout>
              <c:xMode val="factor"/>
              <c:yMode val="factor"/>
              <c:x val="-0.008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59152"/>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trendlineLbl>
          </c:trendline>
          <c:trendline>
            <c:spPr>
              <a:ln w="3175">
                <a:solidFill>
                  <a:srgbClr val="000000"/>
                </a:solidFill>
              </a:ln>
            </c:spPr>
            <c:trendlineType val="linear"/>
            <c:dispEq val="0"/>
            <c:dispRSqr val="0"/>
          </c:trendline>
          <c:trendline>
            <c:spPr>
              <a:ln w="3175">
                <a:solidFill>
                  <a:srgbClr val="000000"/>
                </a:solidFill>
              </a:ln>
            </c:spPr>
            <c:trendlineType val="linear"/>
            <c:dispEq val="0"/>
            <c:dispRSqr val="0"/>
          </c:trendline>
          <c:xVal>
            <c:numRef>
              <c:f>'Doug-fir'!$A$12:$A$32</c:f>
              <c:numCache/>
            </c:numRef>
          </c:xVal>
          <c:yVal>
            <c:numRef>
              <c:f>'Doug-fir'!$F$12:$F$32</c:f>
              <c:numCache/>
            </c:numRef>
          </c:yVal>
          <c:smooth val="0"/>
        </c:ser>
        <c:axId val="42217514"/>
        <c:axId val="44413307"/>
      </c:scatterChart>
      <c:valAx>
        <c:axId val="4221751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413307"/>
        <c:crosses val="autoZero"/>
        <c:crossBetween val="midCat"/>
        <c:dispUnits/>
        <c:majorUnit val="20"/>
      </c:valAx>
      <c:valAx>
        <c:axId val="44413307"/>
        <c:scaling>
          <c:orientation val="minMax"/>
        </c:scaling>
        <c:axPos val="l"/>
        <c:title>
          <c:tx>
            <c:rich>
              <a:bodyPr vert="horz" rot="-5400000" anchor="ctr"/>
              <a:lstStyle/>
              <a:p>
                <a:pPr algn="ctr">
                  <a:defRPr/>
                </a:pPr>
                <a:r>
                  <a:rPr lang="en-US" cap="none" sz="1200" b="1" i="0" u="none" baseline="0">
                    <a:solidFill>
                      <a:srgbClr val="000000"/>
                    </a:solidFill>
                  </a:rPr>
                  <a:t>VOC (lb/Mbf) as C</a:t>
                </a:r>
                <a:r>
                  <a:rPr lang="en-US" cap="none" sz="1200" b="1" i="0" u="none" baseline="-25000">
                    <a:solidFill>
                      <a:srgbClr val="000000"/>
                    </a:solidFill>
                  </a:rPr>
                  <a:t>3</a:t>
                </a:r>
                <a:r>
                  <a:rPr lang="en-US" cap="none" sz="1200" b="1" i="0" u="none" baseline="0">
                    <a:solidFill>
                      <a:srgbClr val="000000"/>
                    </a:solidFill>
                  </a:rPr>
                  <a:t>H</a:t>
                </a:r>
                <a:r>
                  <a:rPr lang="en-US" cap="none" sz="1200" b="1" i="0" u="none" baseline="-25000">
                    <a:solidFill>
                      <a:srgbClr val="000000"/>
                    </a:solidFill>
                  </a:rPr>
                  <a:t>8</a:t>
                </a:r>
              </a:p>
            </c:rich>
          </c:tx>
          <c:layout>
            <c:manualLayout>
              <c:xMode val="factor"/>
              <c:yMode val="factor"/>
              <c:x val="-0.008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1751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'Doug-fir'!$G$12:$G$32</c:f>
              <c:numCache/>
            </c:numRef>
          </c:yVal>
          <c:smooth val="0"/>
        </c:ser>
        <c:axId val="64175444"/>
        <c:axId val="40708085"/>
      </c:scatterChart>
      <c:valAx>
        <c:axId val="6417544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708085"/>
        <c:crosses val="autoZero"/>
        <c:crossBetween val="midCat"/>
        <c:dispUnits/>
        <c:majorUnit val="20"/>
      </c:valAx>
      <c:valAx>
        <c:axId val="40708085"/>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7544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0825"/>
          <c:w val="0.901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'Doug-fir'!$H$12:$H$32</c:f>
              <c:numCache/>
            </c:numRef>
          </c:yVal>
          <c:smooth val="0"/>
        </c:ser>
        <c:axId val="30828446"/>
        <c:axId val="9020559"/>
      </c:scatterChart>
      <c:valAx>
        <c:axId val="30828446"/>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20559"/>
        <c:crosses val="autoZero"/>
        <c:crossBetween val="midCat"/>
        <c:dispUnits/>
        <c:majorUnit val="20"/>
      </c:valAx>
      <c:valAx>
        <c:axId val="9020559"/>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6"/>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828446"/>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825"/>
          <c:w val="0.913"/>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0"/>
            <c:dispRSqr val="0"/>
          </c:trendline>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Fir'!$F$8:$F$16</c:f>
              <c:numCache/>
            </c:numRef>
          </c:yVal>
          <c:smooth val="0"/>
        </c:ser>
        <c:axId val="14076168"/>
        <c:axId val="59576649"/>
      </c:scatterChart>
      <c:valAx>
        <c:axId val="1407616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76649"/>
        <c:crosses val="autoZero"/>
        <c:crossBetween val="midCat"/>
        <c:dispUnits/>
        <c:majorUnit val="20"/>
      </c:valAx>
      <c:valAx>
        <c:axId val="59576649"/>
        <c:scaling>
          <c:orientation val="minMax"/>
        </c:scaling>
        <c:axPos val="l"/>
        <c:title>
          <c:tx>
            <c:rich>
              <a:bodyPr vert="horz" rot="-5400000" anchor="ctr"/>
              <a:lstStyle/>
              <a:p>
                <a:pPr algn="ctr">
                  <a:defRPr/>
                </a:pPr>
                <a:r>
                  <a:rPr lang="en-US" cap="none" sz="1200" b="1" i="0" u="none" baseline="0">
                    <a:solidFill>
                      <a:srgbClr val="000000"/>
                    </a:solidFill>
                  </a:rPr>
                  <a:t>VOC as propane  (lb/Mbf)</a:t>
                </a:r>
              </a:p>
            </c:rich>
          </c:tx>
          <c:layout>
            <c:manualLayout>
              <c:xMode val="factor"/>
              <c:yMode val="factor"/>
              <c:x val="-0.007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7616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825"/>
          <c:w val="0.913"/>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Fir'!$G$8:$G$16</c:f>
              <c:numCache/>
            </c:numRef>
          </c:yVal>
          <c:smooth val="0"/>
        </c:ser>
        <c:axId val="66427794"/>
        <c:axId val="60979235"/>
      </c:scatterChart>
      <c:valAx>
        <c:axId val="6642779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79235"/>
        <c:crosses val="autoZero"/>
        <c:crossBetween val="midCat"/>
        <c:dispUnits/>
        <c:majorUnit val="20"/>
      </c:valAx>
      <c:valAx>
        <c:axId val="60979235"/>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7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2779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0825"/>
          <c:w val="0.913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Fir'!$H$8:$H$16</c:f>
              <c:numCache/>
            </c:numRef>
          </c:yVal>
          <c:smooth val="0"/>
        </c:ser>
        <c:axId val="11942204"/>
        <c:axId val="40370973"/>
      </c:scatterChart>
      <c:valAx>
        <c:axId val="1194220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70973"/>
        <c:crosses val="autoZero"/>
        <c:crossBetween val="midCat"/>
        <c:dispUnits/>
        <c:majorUnit val="20"/>
      </c:valAx>
      <c:valAx>
        <c:axId val="40370973"/>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0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4220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075"/>
          <c:w val="0.926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spPr>
                <a:noFill/>
                <a:ln w="3175">
                  <a:noFill/>
                </a:ln>
              </c:spPr>
            </c:trendlineLbl>
          </c:trendline>
          <c:xVal>
            <c:numRef>
              <c:f>Pine!$A$9:$A$19</c:f>
              <c:numCache/>
            </c:numRef>
          </c:xVal>
          <c:yVal>
            <c:numRef>
              <c:f>Pine!$G$9:$G$19</c:f>
              <c:numCache/>
            </c:numRef>
          </c:yVal>
          <c:smooth val="0"/>
        </c:ser>
        <c:axId val="27794438"/>
        <c:axId val="48823351"/>
      </c:scatterChart>
      <c:valAx>
        <c:axId val="2779443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23351"/>
        <c:crosses val="autoZero"/>
        <c:crossBetween val="midCat"/>
        <c:dispUnits/>
        <c:majorUnit val="20"/>
      </c:valAx>
      <c:valAx>
        <c:axId val="48823351"/>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9443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075"/>
          <c:w val="0.931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spPr>
                <a:noFill/>
                <a:ln w="3175">
                  <a:noFill/>
                </a:ln>
              </c:spPr>
            </c:trendlineLbl>
          </c:trendline>
          <c:xVal>
            <c:numRef>
              <c:f>Pine!$A$9:$A$19</c:f>
              <c:numCache/>
            </c:numRef>
          </c:xVal>
          <c:yVal>
            <c:numRef>
              <c:f>'White Fir'!$H$8:$H$18</c:f>
              <c:numCache>
                <c:ptCount val="11"/>
                <c:pt idx="2">
                  <c:v>0.0022</c:v>
                </c:pt>
                <c:pt idx="3">
                  <c:v>0.0034</c:v>
                </c:pt>
                <c:pt idx="7">
                  <c:v>0.0156</c:v>
                </c:pt>
                <c:pt idx="8">
                  <c:v>0.0163</c:v>
                </c:pt>
              </c:numCache>
            </c:numRef>
          </c:yVal>
          <c:smooth val="0"/>
        </c:ser>
        <c:axId val="36756976"/>
        <c:axId val="62377329"/>
      </c:scatterChart>
      <c:valAx>
        <c:axId val="36756976"/>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77329"/>
        <c:crosses val="autoZero"/>
        <c:crossBetween val="midCat"/>
        <c:dispUnits/>
        <c:majorUnit val="20"/>
      </c:valAx>
      <c:valAx>
        <c:axId val="62377329"/>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56976"/>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075"/>
          <c:w val="0.901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spPr>
                <a:noFill/>
                <a:ln w="3175">
                  <a:noFill/>
                </a:ln>
              </c:spPr>
            </c:trendlineLbl>
          </c:trendline>
          <c:trendline>
            <c:spPr>
              <a:ln w="3175">
                <a:solidFill>
                  <a:srgbClr val="000000"/>
                </a:solidFill>
              </a:ln>
            </c:spPr>
            <c:trendlineType val="linear"/>
            <c:dispEq val="0"/>
            <c:dispRSqr val="0"/>
          </c:trendline>
          <c:trendline>
            <c:spPr>
              <a:ln w="3175">
                <a:solidFill>
                  <a:srgbClr val="000000"/>
                </a:solidFill>
              </a:ln>
            </c:spPr>
            <c:trendlineType val="linear"/>
            <c:dispEq val="0"/>
            <c:dispRSqr val="0"/>
          </c:trendline>
          <c:xVal>
            <c:numRef>
              <c:f>Pine!$A$9:$A$26</c:f>
              <c:numCache/>
            </c:numRef>
          </c:xVal>
          <c:yVal>
            <c:numRef>
              <c:f>Pine!$F$9:$F$26</c:f>
              <c:numCache/>
            </c:numRef>
          </c:yVal>
          <c:smooth val="0"/>
        </c:ser>
        <c:axId val="24525050"/>
        <c:axId val="19398859"/>
      </c:scatterChart>
      <c:valAx>
        <c:axId val="24525050"/>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398859"/>
        <c:crosses val="autoZero"/>
        <c:crossBetween val="midCat"/>
        <c:dispUnits/>
        <c:majorUnit val="20"/>
      </c:valAx>
      <c:valAx>
        <c:axId val="19398859"/>
        <c:scaling>
          <c:orientation val="minMax"/>
        </c:scaling>
        <c:axPos val="l"/>
        <c:title>
          <c:tx>
            <c:rich>
              <a:bodyPr vert="horz" rot="-5400000" anchor="ctr"/>
              <a:lstStyle/>
              <a:p>
                <a:pPr algn="ctr">
                  <a:defRPr/>
                </a:pPr>
                <a:r>
                  <a:rPr lang="en-US" cap="none" sz="1200" b="1" i="0" u="none" baseline="0">
                    <a:solidFill>
                      <a:srgbClr val="000000"/>
                    </a:solidFill>
                  </a:rPr>
                  <a:t>VOC (lb/Mbf) as C</a:t>
                </a:r>
                <a:r>
                  <a:rPr lang="en-US" cap="none" sz="1200" b="1" i="0" u="none" baseline="-25000">
                    <a:solidFill>
                      <a:srgbClr val="000000"/>
                    </a:solidFill>
                  </a:rPr>
                  <a:t>3</a:t>
                </a:r>
                <a:r>
                  <a:rPr lang="en-US" cap="none" sz="1200" b="1" i="0" u="none" baseline="0">
                    <a:solidFill>
                      <a:srgbClr val="000000"/>
                    </a:solidFill>
                  </a:rPr>
                  <a:t>H</a:t>
                </a:r>
                <a:r>
                  <a:rPr lang="en-US" cap="none" sz="1200" b="1" i="0" u="none" baseline="-25000">
                    <a:solidFill>
                      <a:srgbClr val="000000"/>
                    </a:solidFill>
                  </a:rPr>
                  <a:t>8</a:t>
                </a:r>
              </a:p>
            </c:rich>
          </c:tx>
          <c:layout>
            <c:manualLayout>
              <c:xMode val="factor"/>
              <c:yMode val="factor"/>
              <c:x val="-0.008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25050"/>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0825"/>
          <c:w val="0.8992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Alder!$G$9:$G$13</c:f>
              <c:numCache/>
            </c:numRef>
          </c:yVal>
          <c:smooth val="0"/>
        </c:ser>
        <c:axId val="21294938"/>
        <c:axId val="57436715"/>
      </c:scatterChart>
      <c:valAx>
        <c:axId val="2129493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436715"/>
        <c:crosses val="autoZero"/>
        <c:crossBetween val="midCat"/>
        <c:dispUnits/>
        <c:majorUnit val="20"/>
      </c:valAx>
      <c:valAx>
        <c:axId val="57436715"/>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9493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0825"/>
          <c:w val="0.902"/>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Alder!$H$9:$H$13</c:f>
              <c:numCache/>
            </c:numRef>
          </c:yVal>
          <c:smooth val="0"/>
        </c:ser>
        <c:axId val="47168388"/>
        <c:axId val="21862309"/>
      </c:scatterChart>
      <c:valAx>
        <c:axId val="4716838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862309"/>
        <c:crosses val="autoZero"/>
        <c:crossBetween val="midCat"/>
        <c:dispUnits/>
        <c:majorUnit val="20"/>
      </c:valAx>
      <c:valAx>
        <c:axId val="21862309"/>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2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6838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Hemlock!$E$13:$E$35</c:f>
              <c:numCache/>
            </c:numRef>
          </c:yVal>
          <c:smooth val="0"/>
        </c:ser>
        <c:axId val="62543054"/>
        <c:axId val="26016575"/>
      </c:scatterChart>
      <c:valAx>
        <c:axId val="6254305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16575"/>
        <c:crosses val="autoZero"/>
        <c:crossBetween val="midCat"/>
        <c:dispUnits/>
        <c:majorUnit val="20"/>
      </c:valAx>
      <c:valAx>
        <c:axId val="26016575"/>
        <c:scaling>
          <c:orientation val="minMax"/>
        </c:scaling>
        <c:axPos val="l"/>
        <c:title>
          <c:tx>
            <c:rich>
              <a:bodyPr vert="horz" rot="-5400000" anchor="ctr"/>
              <a:lstStyle/>
              <a:p>
                <a:pPr algn="ctr">
                  <a:defRPr/>
                </a:pPr>
                <a:r>
                  <a:rPr lang="en-US" cap="none" sz="1200" b="1" i="0" u="none" baseline="0">
                    <a:solidFill>
                      <a:srgbClr val="000000"/>
                    </a:solidFill>
                  </a:rPr>
                  <a:t>VOC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4305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Hemlock!$G$13:$G$35</c:f>
              <c:numCache/>
            </c:numRef>
          </c:yVal>
          <c:smooth val="0"/>
        </c:ser>
        <c:axId val="32822584"/>
        <c:axId val="26967801"/>
      </c:scatterChart>
      <c:valAx>
        <c:axId val="3282258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67801"/>
        <c:crosses val="autoZero"/>
        <c:crossBetween val="midCat"/>
        <c:dispUnits/>
        <c:majorUnit val="20"/>
      </c:valAx>
      <c:valAx>
        <c:axId val="26967801"/>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2258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0825"/>
          <c:w val="0.9012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Hemlock!$H$13:$H$35</c:f>
              <c:numCache/>
            </c:numRef>
          </c:yVal>
          <c:smooth val="0"/>
        </c:ser>
        <c:axId val="41383618"/>
        <c:axId val="36908243"/>
      </c:scatterChart>
      <c:valAx>
        <c:axId val="4138361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08243"/>
        <c:crosses val="autoZero"/>
        <c:crossBetween val="midCat"/>
        <c:dispUnits/>
        <c:majorUnit val="20"/>
      </c:valAx>
      <c:valAx>
        <c:axId val="36908243"/>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57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8361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trendlineLbl>
          </c:trendline>
          <c:trendline>
            <c:spPr>
              <a:ln w="3175">
                <a:solidFill>
                  <a:srgbClr val="000000"/>
                </a:solidFill>
              </a:ln>
            </c:spPr>
            <c:trendlineType val="linear"/>
            <c:dispEq val="0"/>
            <c:dispRSqr val="0"/>
          </c:trendline>
          <c:xVal>
            <c:numRef>
              <c:f>'Doug-fir'!$A$12:$A$32</c:f>
              <c:numCache/>
            </c:numRef>
          </c:xVal>
          <c:yVal>
            <c:numRef>
              <c:f>'Doug-fir'!$E$12:$E$33</c:f>
              <c:numCache/>
            </c:numRef>
          </c:yVal>
          <c:smooth val="0"/>
        </c:ser>
        <c:axId val="63738732"/>
        <c:axId val="36777677"/>
      </c:scatterChart>
      <c:valAx>
        <c:axId val="63738732"/>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77677"/>
        <c:crosses val="autoZero"/>
        <c:crossBetween val="midCat"/>
        <c:dispUnits/>
        <c:majorUnit val="20"/>
      </c:valAx>
      <c:valAx>
        <c:axId val="36777677"/>
        <c:scaling>
          <c:orientation val="minMax"/>
        </c:scaling>
        <c:axPos val="l"/>
        <c:title>
          <c:tx>
            <c:rich>
              <a:bodyPr vert="horz" rot="-5400000" anchor="ctr"/>
              <a:lstStyle/>
              <a:p>
                <a:pPr algn="ctr">
                  <a:defRPr/>
                </a:pPr>
                <a:r>
                  <a:rPr lang="en-US" cap="none" sz="1200" b="1" i="0" u="none" baseline="0">
                    <a:solidFill>
                      <a:srgbClr val="000000"/>
                    </a:solidFill>
                  </a:rPr>
                  <a:t>VOC (lb/Mbf)</a:t>
                </a:r>
              </a:p>
            </c:rich>
          </c:tx>
          <c:layout>
            <c:manualLayout>
              <c:xMode val="factor"/>
              <c:yMode val="factor"/>
              <c:x val="-0.004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38732"/>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ptCount val="23"/>
                <c:pt idx="0">
                  <c:v>180</c:v>
                </c:pt>
                <c:pt idx="1">
                  <c:v>180</c:v>
                </c:pt>
                <c:pt idx="2">
                  <c:v>180</c:v>
                </c:pt>
                <c:pt idx="3">
                  <c:v>180</c:v>
                </c:pt>
                <c:pt idx="4">
                  <c:v>180</c:v>
                </c:pt>
                <c:pt idx="5">
                  <c:v>180</c:v>
                </c:pt>
                <c:pt idx="6">
                  <c:v>180</c:v>
                </c:pt>
                <c:pt idx="7">
                  <c:v>180</c:v>
                </c:pt>
                <c:pt idx="8">
                  <c:v>180</c:v>
                </c:pt>
                <c:pt idx="9">
                  <c:v>180</c:v>
                </c:pt>
                <c:pt idx="10">
                  <c:v>200</c:v>
                </c:pt>
                <c:pt idx="11">
                  <c:v>200</c:v>
                </c:pt>
                <c:pt idx="12">
                  <c:v>200</c:v>
                </c:pt>
                <c:pt idx="13">
                  <c:v>200</c:v>
                </c:pt>
                <c:pt idx="14">
                  <c:v>200</c:v>
                </c:pt>
                <c:pt idx="15">
                  <c:v>200</c:v>
                </c:pt>
                <c:pt idx="16">
                  <c:v>215</c:v>
                </c:pt>
                <c:pt idx="17">
                  <c:v>215</c:v>
                </c:pt>
                <c:pt idx="18">
                  <c:v>225</c:v>
                </c:pt>
                <c:pt idx="19">
                  <c:v>225</c:v>
                </c:pt>
                <c:pt idx="20">
                  <c:v>225</c:v>
                </c:pt>
                <c:pt idx="21">
                  <c:v>235</c:v>
                </c:pt>
                <c:pt idx="22">
                  <c:v>235</c:v>
                </c:pt>
              </c:numCache>
            </c:numRef>
          </c:xVal>
          <c:yVal>
            <c:numRef>
              <c:f>Hemlock!$G$13:$G$35</c:f>
              <c:numCache>
                <c:ptCount val="23"/>
                <c:pt idx="1">
                  <c:v>0.031</c:v>
                </c:pt>
                <c:pt idx="2">
                  <c:v>0.03</c:v>
                </c:pt>
                <c:pt idx="3">
                  <c:v>0.052</c:v>
                </c:pt>
                <c:pt idx="7">
                  <c:v>0.079</c:v>
                </c:pt>
                <c:pt idx="8">
                  <c:v>0.094</c:v>
                </c:pt>
                <c:pt idx="10">
                  <c:v>0.057</c:v>
                </c:pt>
                <c:pt idx="11">
                  <c:v>0.098</c:v>
                </c:pt>
                <c:pt idx="12">
                  <c:v>0.175</c:v>
                </c:pt>
                <c:pt idx="13">
                  <c:v>0.154</c:v>
                </c:pt>
                <c:pt idx="14">
                  <c:v>0.044</c:v>
                </c:pt>
                <c:pt idx="15">
                  <c:v>0.077</c:v>
                </c:pt>
                <c:pt idx="17">
                  <c:v>0.138</c:v>
                </c:pt>
                <c:pt idx="18">
                  <c:v>0.189</c:v>
                </c:pt>
                <c:pt idx="19">
                  <c:v>0.167</c:v>
                </c:pt>
                <c:pt idx="20">
                  <c:v>0.24</c:v>
                </c:pt>
                <c:pt idx="22">
                  <c:v>0.187</c:v>
                </c:pt>
              </c:numCache>
            </c:numRef>
          </c:yVal>
          <c:smooth val="0"/>
        </c:ser>
        <c:axId val="62563638"/>
        <c:axId val="26201831"/>
      </c:scatterChart>
      <c:valAx>
        <c:axId val="6256363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01831"/>
        <c:crosses val="autoZero"/>
        <c:crossBetween val="midCat"/>
        <c:dispUnits/>
        <c:majorUnit val="20"/>
      </c:valAx>
      <c:valAx>
        <c:axId val="26201831"/>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6363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0825"/>
          <c:w val="0.901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'Doug-fir'!$H$12:$H$32</c:f>
              <c:numCache/>
            </c:numRef>
          </c:yVal>
          <c:smooth val="0"/>
        </c:ser>
        <c:axId val="34489888"/>
        <c:axId val="41973537"/>
      </c:scatterChart>
      <c:valAx>
        <c:axId val="3448988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73537"/>
        <c:crosses val="autoZero"/>
        <c:crossBetween val="midCat"/>
        <c:dispUnits/>
        <c:majorUnit val="20"/>
      </c:valAx>
      <c:valAx>
        <c:axId val="41973537"/>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6"/>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48988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57</xdr:row>
      <xdr:rowOff>0</xdr:rowOff>
    </xdr:from>
    <xdr:to>
      <xdr:col>11</xdr:col>
      <xdr:colOff>85725</xdr:colOff>
      <xdr:row>90</xdr:row>
      <xdr:rowOff>114300</xdr:rowOff>
    </xdr:to>
    <xdr:sp>
      <xdr:nvSpPr>
        <xdr:cNvPr id="1" name="TextBox 1"/>
        <xdr:cNvSpPr txBox="1">
          <a:spLocks noChangeArrowheads="1"/>
        </xdr:cNvSpPr>
      </xdr:nvSpPr>
      <xdr:spPr>
        <a:xfrm>
          <a:off x="47625" y="12258675"/>
          <a:ext cx="12896850" cy="548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 is the maximum cycle temperature in degrees Fahrenheit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VOC</a:t>
          </a:r>
          <a:r>
            <a:rPr lang="en-US" cap="none" sz="1100" b="0" i="0" u="none" baseline="0">
              <a:solidFill>
                <a:srgbClr val="000000"/>
              </a:solidFill>
              <a:latin typeface="Calibri"/>
              <a:ea typeface="Calibri"/>
              <a:cs typeface="Calibri"/>
            </a:rPr>
            <a:t> emissions are derived from total hydrocarbon test results and may include emissions of non-VOC compounds (e.g. acetone).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HAP data was available for maple drying, however the single VOC emissions test for maple drying was performed at the same time, and by the same company, performing a VOC emissions test for alder drying.  The VOC emission test results were very similar (both indicated ~0.11 lb VOC as C / Mbf).  The testing was performed by Horizon Engineering in 1998 for Cascade Hardwoods.  Because VOC emissions were so similar, SWCAA has applied HAP emission factors from alder drying to maple drying.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Emissions of M25A</a:t>
          </a:r>
          <a:r>
            <a:rPr lang="en-US" cap="none" sz="1100" b="0" i="0" u="none" baseline="0">
              <a:solidFill>
                <a:srgbClr val="000000"/>
              </a:solidFill>
              <a:latin typeface="Calibri"/>
              <a:ea typeface="Calibri"/>
              <a:cs typeface="Calibri"/>
            </a:rPr>
            <a:t> results</a:t>
          </a:r>
          <a:r>
            <a:rPr lang="en-US" cap="none" sz="1100" b="0" i="0" u="none" baseline="0">
              <a:solidFill>
                <a:srgbClr val="000000"/>
              </a:solidFill>
              <a:latin typeface="Calibri"/>
              <a:ea typeface="Calibri"/>
              <a:cs typeface="Calibri"/>
            </a:rPr>
            <a:t>, methanol, and formaldehyde appear to be strongly temperature dependent, therefore emissions of these pollutants were calculated assuming a linear relationship between emissions and temperature using a least squares fit of the available data in the format y=mx+b.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Emissions of acedaldehyde, propionaldehyde, and acrolein do not appear to be strongly temperature dependent, so emissions of these pollutants were calculated from a simple average of the available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With</a:t>
          </a:r>
          <a:r>
            <a:rPr lang="en-US" cap="none" sz="1100" b="0" i="0" u="none" baseline="0">
              <a:solidFill>
                <a:srgbClr val="000000"/>
              </a:solidFill>
              <a:latin typeface="Calibri"/>
              <a:ea typeface="Calibri"/>
              <a:cs typeface="Calibri"/>
            </a:rPr>
            <a:t> the exception of Alder, n</a:t>
          </a:r>
          <a:r>
            <a:rPr lang="en-US" cap="none" sz="1100" b="0" i="0" u="none" baseline="0">
              <a:solidFill>
                <a:srgbClr val="000000"/>
              </a:solidFill>
              <a:latin typeface="Calibri"/>
              <a:ea typeface="Calibri"/>
              <a:cs typeface="Calibri"/>
            </a:rPr>
            <a:t>one of the above  factors account for freshwater</a:t>
          </a:r>
          <a:r>
            <a:rPr lang="en-US" cap="none" sz="1100" b="0" i="0" u="none" baseline="0">
              <a:solidFill>
                <a:srgbClr val="000000"/>
              </a:solidFill>
              <a:latin typeface="Calibri"/>
              <a:ea typeface="Calibri"/>
              <a:cs typeface="Calibri"/>
            </a:rPr>
            <a:t> or saltwater storage of logs.  Based on limited test data (Milota 2006), emissions of VOCs from kiln drying of alder stored in salt water are an order of magnitude treater than from alder stored on land.  With only two test results for saltwater stored alder, and only for emissions of VOCs as measured by Method 25A, it has been assumed that emissions of VOCs  increase by the ratio of the total hydrocarbons measured from the saltwater stored logs to the total hydrocarbons measured from dry-stored logs at the same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SWCAA is not aware of any full speciation profiles of the VOC emissions from dry kilning of Hemlock or Douglas Fir lumber from which to develop an accurate scaling factor for the EPA Method 25A results.  SWCAA has used the Method 25A response factor assumptions listed above to calculate VOC emissions based on the EPA Method 25A test data and the available speciated HAP data.  For example, to correct the Method 25A data for the known methanol emissions, SWCAA assumed that the methanol response factor is 0.69, meaning that for every 1 ppm of methanol measured, the Method 25A analyzer read 0.69 ppm as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Using this assumption, the portion of the Method 25A reading resulting from methanol in the exhaust stream can be estimated and subtracted from the Method 25A result.  After doing this for all known species, we are left with a Method 25A result that is due to compounds </a:t>
          </a:r>
          <a:r>
            <a:rPr lang="en-US" cap="none" sz="1100" b="0" i="0" u="sng" baseline="0">
              <a:solidFill>
                <a:srgbClr val="000000"/>
              </a:solidFill>
              <a:latin typeface="Calibri"/>
              <a:ea typeface="Calibri"/>
              <a:cs typeface="Calibri"/>
            </a:rPr>
            <a:t>other than</a:t>
          </a:r>
          <a:r>
            <a:rPr lang="en-US" cap="none" sz="1100" b="0" i="0" u="none" baseline="0">
              <a:solidFill>
                <a:srgbClr val="000000"/>
              </a:solidFill>
              <a:latin typeface="Calibri"/>
              <a:ea typeface="Calibri"/>
              <a:cs typeface="Calibri"/>
            </a:rPr>
            <a:t> the known compounds.  For this analysis, SWCAA has assumed that the remaining VOCs are represented by mono turpenes (C</a:t>
          </a:r>
          <a:r>
            <a:rPr lang="en-US" cap="none" sz="1100" b="0" i="0" u="none" baseline="-25000">
              <a:solidFill>
                <a:srgbClr val="000000"/>
              </a:solidFill>
              <a:latin typeface="Calibri"/>
              <a:ea typeface="Calibri"/>
              <a:cs typeface="Calibri"/>
            </a:rPr>
            <a:t>10</a:t>
          </a:r>
          <a:r>
            <a:rPr lang="en-US" cap="none" sz="1100" b="0" i="0" u="none" baseline="0">
              <a:solidFill>
                <a:srgbClr val="000000"/>
              </a:solidFill>
              <a:latin typeface="Calibri"/>
              <a:ea typeface="Calibri"/>
              <a:cs typeface="Calibri"/>
            </a:rPr>
            <a:t>H</a:t>
          </a:r>
          <a:r>
            <a:rPr lang="en-US" cap="none" sz="1100" b="0" i="0" u="none" baseline="-25000">
              <a:solidFill>
                <a:srgbClr val="000000"/>
              </a:solidFill>
              <a:latin typeface="Calibri"/>
              <a:ea typeface="Calibri"/>
              <a:cs typeface="Calibri"/>
            </a:rPr>
            <a:t>16</a:t>
          </a:r>
          <a:r>
            <a:rPr lang="en-US" cap="none" sz="1100" b="0" i="0" u="none" baseline="0">
              <a:solidFill>
                <a:srgbClr val="000000"/>
              </a:solidFill>
              <a:latin typeface="Calibri"/>
              <a:ea typeface="Calibri"/>
              <a:cs typeface="Calibri"/>
            </a:rPr>
            <a:t>).  This could turn out to be a significant underestimate of VOC emissions if it turns out that the bulk of the remaining VOC emissions are alcohols or aldehydes that both have low response factors and higher ratios of molecular weight to the number of carbon</a:t>
          </a:r>
          <a:r>
            <a:rPr lang="en-US" cap="none" sz="1100" b="0" i="0" u="none" baseline="0">
              <a:solidFill>
                <a:srgbClr val="000000"/>
              </a:solidFill>
              <a:latin typeface="Calibri"/>
              <a:ea typeface="Calibri"/>
              <a:cs typeface="Calibri"/>
            </a:rPr>
            <a:t> atoms</a:t>
          </a:r>
          <a:r>
            <a:rPr lang="en-US" cap="none" sz="1100" b="0" i="0" u="none" baseline="0">
              <a:solidFill>
                <a:srgbClr val="000000"/>
              </a:solidFill>
              <a:latin typeface="Calibri"/>
              <a:ea typeface="Calibri"/>
              <a:cs typeface="Calibri"/>
            </a:rPr>
            <a:t> in the molecule.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"White Fir" emission factors are for a</a:t>
          </a:r>
          <a:r>
            <a:rPr lang="en-US" cap="none" sz="1100" b="0" i="0" u="none" baseline="0">
              <a:solidFill>
                <a:srgbClr val="000000"/>
              </a:solidFill>
              <a:latin typeface="Calibri"/>
              <a:ea typeface="Calibri"/>
              <a:cs typeface="Calibri"/>
            </a:rPr>
            <a:t> mixture of firs including white fir, grand fir, suble fir, and subalpine fir.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a:t>
          </a:r>
          <a:r>
            <a:rPr lang="en-US" cap="none" sz="1100" b="0" i="0" u="none" baseline="0">
              <a:solidFill>
                <a:srgbClr val="000000"/>
              </a:solidFill>
              <a:latin typeface="Calibri"/>
              <a:ea typeface="Calibri"/>
              <a:cs typeface="Calibri"/>
            </a:rPr>
            <a:t> emissions data for acetaldehyde, proprionaldehyde, or acrolein were available for "white fir", so emissions of these pollutants were assumed to be equal to the emissions from hemlock (the higher of the two species with the most information (hemlock and douglas fir)).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PM Emissions are assumed to be PM</a:t>
          </a:r>
          <a:r>
            <a:rPr lang="en-US" cap="none" sz="1100" b="0" i="0" u="none" baseline="-2500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  Emission factors come from a pair of tests conducted by Horizon Engineering on hemlock and douglas fir in November and December 1998 for Willamette Industries using OSU's kiln.  PM measured using ODEQ Method 7 (front and back half method).  The highest test result was applied to all tree species for which SWCAA has no test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tests</a:t>
          </a:r>
          <a:r>
            <a:rPr lang="en-US" cap="none" sz="1100" b="0" i="0" u="none" baseline="0">
              <a:solidFill>
                <a:srgbClr val="000000"/>
              </a:solidFill>
              <a:latin typeface="Calibri"/>
              <a:ea typeface="Calibri"/>
              <a:cs typeface="Calibri"/>
            </a:rPr>
            <a:t> conducted by Horizon Engineering using "H. Dettinger" method were not used to calculate emission factors because this method does not control humidity in the kiln, and therefore does not accurately represent a drying cycle.  Generally this resulted in shorter drying times.  Some portion of the VOC emissions is belived to be related to thermal decomposition products that would be related to the amount of kiln temperature AND the overall time the wood is held at specific temperatures; therfore the Dettinger method is likely to underestimate VOC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comparing source test reports provided by Horizon Engineering, it should be noted that Horizon reported moisture content on a wet wood basis rather than a dry wood basis and reported VOC emissions in lb/Mbf where actual board feet was 144 ACTUAL square inches of lumber, not nominal dimensions.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6</xdr:col>
      <xdr:colOff>257175</xdr:colOff>
      <xdr:row>46</xdr:row>
      <xdr:rowOff>152400</xdr:rowOff>
    </xdr:to>
    <xdr:graphicFrame>
      <xdr:nvGraphicFramePr>
        <xdr:cNvPr id="1" name="Chart 2"/>
        <xdr:cNvGraphicFramePr/>
      </xdr:nvGraphicFramePr>
      <xdr:xfrm>
        <a:off x="866775" y="4962525"/>
        <a:ext cx="47625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0</xdr:rowOff>
    </xdr:from>
    <xdr:to>
      <xdr:col>6</xdr:col>
      <xdr:colOff>257175</xdr:colOff>
      <xdr:row>64</xdr:row>
      <xdr:rowOff>152400</xdr:rowOff>
    </xdr:to>
    <xdr:graphicFrame>
      <xdr:nvGraphicFramePr>
        <xdr:cNvPr id="2" name="Chart 2"/>
        <xdr:cNvGraphicFramePr/>
      </xdr:nvGraphicFramePr>
      <xdr:xfrm>
        <a:off x="866775" y="7877175"/>
        <a:ext cx="47625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6</xdr:col>
      <xdr:colOff>257175</xdr:colOff>
      <xdr:row>82</xdr:row>
      <xdr:rowOff>152400</xdr:rowOff>
    </xdr:to>
    <xdr:graphicFrame>
      <xdr:nvGraphicFramePr>
        <xdr:cNvPr id="3" name="Chart 3"/>
        <xdr:cNvGraphicFramePr/>
      </xdr:nvGraphicFramePr>
      <xdr:xfrm>
        <a:off x="866775" y="10791825"/>
        <a:ext cx="4762500" cy="27432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40</xdr:row>
      <xdr:rowOff>28575</xdr:rowOff>
    </xdr:from>
    <xdr:to>
      <xdr:col>6</xdr:col>
      <xdr:colOff>866775</xdr:colOff>
      <xdr:row>57</xdr:row>
      <xdr:rowOff>19050</xdr:rowOff>
    </xdr:to>
    <xdr:graphicFrame>
      <xdr:nvGraphicFramePr>
        <xdr:cNvPr id="1" name="Chart 2"/>
        <xdr:cNvGraphicFramePr/>
      </xdr:nvGraphicFramePr>
      <xdr:xfrm>
        <a:off x="876300" y="6638925"/>
        <a:ext cx="478155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58</xdr:row>
      <xdr:rowOff>0</xdr:rowOff>
    </xdr:from>
    <xdr:to>
      <xdr:col>6</xdr:col>
      <xdr:colOff>857250</xdr:colOff>
      <xdr:row>74</xdr:row>
      <xdr:rowOff>152400</xdr:rowOff>
    </xdr:to>
    <xdr:graphicFrame>
      <xdr:nvGraphicFramePr>
        <xdr:cNvPr id="2" name="Chart 3"/>
        <xdr:cNvGraphicFramePr/>
      </xdr:nvGraphicFramePr>
      <xdr:xfrm>
        <a:off x="866775" y="9525000"/>
        <a:ext cx="47815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76</xdr:row>
      <xdr:rowOff>0</xdr:rowOff>
    </xdr:from>
    <xdr:to>
      <xdr:col>6</xdr:col>
      <xdr:colOff>857250</xdr:colOff>
      <xdr:row>92</xdr:row>
      <xdr:rowOff>152400</xdr:rowOff>
    </xdr:to>
    <xdr:graphicFrame>
      <xdr:nvGraphicFramePr>
        <xdr:cNvPr id="3" name="Chart 4"/>
        <xdr:cNvGraphicFramePr/>
      </xdr:nvGraphicFramePr>
      <xdr:xfrm>
        <a:off x="866775" y="12439650"/>
        <a:ext cx="4781550" cy="2743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43</xdr:row>
      <xdr:rowOff>0</xdr:rowOff>
    </xdr:from>
    <xdr:to>
      <xdr:col>7</xdr:col>
      <xdr:colOff>552450</xdr:colOff>
      <xdr:row>59</xdr:row>
      <xdr:rowOff>152400</xdr:rowOff>
    </xdr:to>
    <xdr:graphicFrame>
      <xdr:nvGraphicFramePr>
        <xdr:cNvPr id="1" name="Chart 1"/>
        <xdr:cNvGraphicFramePr/>
      </xdr:nvGraphicFramePr>
      <xdr:xfrm>
        <a:off x="1628775" y="7096125"/>
        <a:ext cx="4762500" cy="28194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61</xdr:row>
      <xdr:rowOff>0</xdr:rowOff>
    </xdr:from>
    <xdr:to>
      <xdr:col>7</xdr:col>
      <xdr:colOff>552450</xdr:colOff>
      <xdr:row>77</xdr:row>
      <xdr:rowOff>152400</xdr:rowOff>
    </xdr:to>
    <xdr:graphicFrame>
      <xdr:nvGraphicFramePr>
        <xdr:cNvPr id="2" name="Chart 2"/>
        <xdr:cNvGraphicFramePr/>
      </xdr:nvGraphicFramePr>
      <xdr:xfrm>
        <a:off x="1628775" y="10086975"/>
        <a:ext cx="4762500" cy="27432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79</xdr:row>
      <xdr:rowOff>0</xdr:rowOff>
    </xdr:from>
    <xdr:to>
      <xdr:col>7</xdr:col>
      <xdr:colOff>552450</xdr:colOff>
      <xdr:row>95</xdr:row>
      <xdr:rowOff>152400</xdr:rowOff>
    </xdr:to>
    <xdr:graphicFrame>
      <xdr:nvGraphicFramePr>
        <xdr:cNvPr id="3" name="Chart 3"/>
        <xdr:cNvGraphicFramePr/>
      </xdr:nvGraphicFramePr>
      <xdr:xfrm>
        <a:off x="1628775" y="13001625"/>
        <a:ext cx="4762500" cy="27432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43</xdr:row>
      <xdr:rowOff>0</xdr:rowOff>
    </xdr:from>
    <xdr:to>
      <xdr:col>7</xdr:col>
      <xdr:colOff>552450</xdr:colOff>
      <xdr:row>59</xdr:row>
      <xdr:rowOff>152400</xdr:rowOff>
    </xdr:to>
    <xdr:graphicFrame>
      <xdr:nvGraphicFramePr>
        <xdr:cNvPr id="4" name="Chart 1"/>
        <xdr:cNvGraphicFramePr/>
      </xdr:nvGraphicFramePr>
      <xdr:xfrm>
        <a:off x="1628775" y="7096125"/>
        <a:ext cx="4762500" cy="28194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61</xdr:row>
      <xdr:rowOff>0</xdr:rowOff>
    </xdr:from>
    <xdr:to>
      <xdr:col>7</xdr:col>
      <xdr:colOff>552450</xdr:colOff>
      <xdr:row>77</xdr:row>
      <xdr:rowOff>152400</xdr:rowOff>
    </xdr:to>
    <xdr:graphicFrame>
      <xdr:nvGraphicFramePr>
        <xdr:cNvPr id="5" name="Chart 2"/>
        <xdr:cNvGraphicFramePr/>
      </xdr:nvGraphicFramePr>
      <xdr:xfrm>
        <a:off x="1628775" y="10086975"/>
        <a:ext cx="4762500" cy="274320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79</xdr:row>
      <xdr:rowOff>0</xdr:rowOff>
    </xdr:from>
    <xdr:to>
      <xdr:col>7</xdr:col>
      <xdr:colOff>552450</xdr:colOff>
      <xdr:row>95</xdr:row>
      <xdr:rowOff>152400</xdr:rowOff>
    </xdr:to>
    <xdr:graphicFrame>
      <xdr:nvGraphicFramePr>
        <xdr:cNvPr id="6" name="Chart 3"/>
        <xdr:cNvGraphicFramePr/>
      </xdr:nvGraphicFramePr>
      <xdr:xfrm>
        <a:off x="1628775" y="13001625"/>
        <a:ext cx="4762500" cy="274320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24</xdr:row>
      <xdr:rowOff>66675</xdr:rowOff>
    </xdr:from>
    <xdr:to>
      <xdr:col>7</xdr:col>
      <xdr:colOff>723900</xdr:colOff>
      <xdr:row>41</xdr:row>
      <xdr:rowOff>57150</xdr:rowOff>
    </xdr:to>
    <xdr:graphicFrame>
      <xdr:nvGraphicFramePr>
        <xdr:cNvPr id="1" name="Chart 1"/>
        <xdr:cNvGraphicFramePr/>
      </xdr:nvGraphicFramePr>
      <xdr:xfrm>
        <a:off x="819150" y="4057650"/>
        <a:ext cx="546735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0</xdr:rowOff>
    </xdr:from>
    <xdr:to>
      <xdr:col>7</xdr:col>
      <xdr:colOff>771525</xdr:colOff>
      <xdr:row>58</xdr:row>
      <xdr:rowOff>152400</xdr:rowOff>
    </xdr:to>
    <xdr:graphicFrame>
      <xdr:nvGraphicFramePr>
        <xdr:cNvPr id="2" name="Chart 2"/>
        <xdr:cNvGraphicFramePr/>
      </xdr:nvGraphicFramePr>
      <xdr:xfrm>
        <a:off x="866775" y="6905625"/>
        <a:ext cx="54673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60</xdr:row>
      <xdr:rowOff>0</xdr:rowOff>
    </xdr:from>
    <xdr:to>
      <xdr:col>7</xdr:col>
      <xdr:colOff>771525</xdr:colOff>
      <xdr:row>76</xdr:row>
      <xdr:rowOff>152400</xdr:rowOff>
    </xdr:to>
    <xdr:graphicFrame>
      <xdr:nvGraphicFramePr>
        <xdr:cNvPr id="3" name="Chart 3"/>
        <xdr:cNvGraphicFramePr/>
      </xdr:nvGraphicFramePr>
      <xdr:xfrm>
        <a:off x="866775" y="9820275"/>
        <a:ext cx="5467350" cy="27432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44</xdr:row>
      <xdr:rowOff>9525</xdr:rowOff>
    </xdr:from>
    <xdr:to>
      <xdr:col>7</xdr:col>
      <xdr:colOff>561975</xdr:colOff>
      <xdr:row>61</xdr:row>
      <xdr:rowOff>0</xdr:rowOff>
    </xdr:to>
    <xdr:graphicFrame>
      <xdr:nvGraphicFramePr>
        <xdr:cNvPr id="1" name="Chart 6"/>
        <xdr:cNvGraphicFramePr/>
      </xdr:nvGraphicFramePr>
      <xdr:xfrm>
        <a:off x="1009650" y="7258050"/>
        <a:ext cx="4848225" cy="2743200"/>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61</xdr:row>
      <xdr:rowOff>66675</xdr:rowOff>
    </xdr:from>
    <xdr:to>
      <xdr:col>7</xdr:col>
      <xdr:colOff>542925</xdr:colOff>
      <xdr:row>78</xdr:row>
      <xdr:rowOff>57150</xdr:rowOff>
    </xdr:to>
    <xdr:graphicFrame>
      <xdr:nvGraphicFramePr>
        <xdr:cNvPr id="2" name="Chart 8"/>
        <xdr:cNvGraphicFramePr/>
      </xdr:nvGraphicFramePr>
      <xdr:xfrm>
        <a:off x="990600" y="10067925"/>
        <a:ext cx="4848225" cy="274320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25</xdr:row>
      <xdr:rowOff>95250</xdr:rowOff>
    </xdr:from>
    <xdr:to>
      <xdr:col>7</xdr:col>
      <xdr:colOff>552450</xdr:colOff>
      <xdr:row>42</xdr:row>
      <xdr:rowOff>85725</xdr:rowOff>
    </xdr:to>
    <xdr:graphicFrame>
      <xdr:nvGraphicFramePr>
        <xdr:cNvPr id="3" name="Chart 11"/>
        <xdr:cNvGraphicFramePr/>
      </xdr:nvGraphicFramePr>
      <xdr:xfrm>
        <a:off x="1000125" y="4267200"/>
        <a:ext cx="4848225" cy="27432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lint.SWCAA\Desktop\Defaults%20090814%20-%20comparison%20pp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ault Factors"/>
      <sheetName val="Alder"/>
      <sheetName val="Maple"/>
      <sheetName val="Doug Fir"/>
      <sheetName val="Hemlock"/>
      <sheetName val="White Fir"/>
      <sheetName val="Comparisons"/>
      <sheetName val="Facilities"/>
      <sheetName val="Updates"/>
    </sheetNames>
    <sheetDataSet>
      <sheetData sheetId="0">
        <row r="5">
          <cell r="F5" t="str">
            <v>Total</v>
          </cell>
        </row>
        <row r="6">
          <cell r="F6" t="str">
            <v>VOCs</v>
          </cell>
          <cell r="G6" t="str">
            <v>Methanol</v>
          </cell>
          <cell r="H6" t="str">
            <v>Formaldehyde</v>
          </cell>
          <cell r="I6" t="str">
            <v>Acetaldehyde</v>
          </cell>
          <cell r="J6" t="str">
            <v>Propionaldehyde</v>
          </cell>
          <cell r="K6" t="str">
            <v>Acrolein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workbookViewId="0" topLeftCell="A1">
      <pane xSplit="2" ySplit="7" topLeftCell="D8" activePane="bottomRight" state="frozen"/>
      <selection pane="topLeft" activeCell="A1" sqref="A1"/>
      <selection pane="topRight" activeCell="C1" sqref="C1"/>
      <selection pane="bottomLeft" activeCell="A8" sqref="A8"/>
      <selection pane="bottomRight" activeCell="G12" sqref="G12"/>
    </sheetView>
  </sheetViews>
  <sheetFormatPr defaultColWidth="9.140625" defaultRowHeight="12.75"/>
  <cols>
    <col min="1" max="1" width="18.8515625" style="76" customWidth="1"/>
    <col min="2" max="2" width="13.421875" style="76" customWidth="1"/>
    <col min="3" max="3" width="16.28125" style="76" customWidth="1"/>
    <col min="4" max="4" width="24.28125" style="76" customWidth="1"/>
    <col min="5" max="5" width="17.57421875" style="76" customWidth="1"/>
    <col min="6" max="6" width="17.28125" style="76" customWidth="1"/>
    <col min="7" max="7" width="18.8515625" style="76" customWidth="1"/>
    <col min="8" max="8" width="21.57421875" style="76" customWidth="1"/>
    <col min="9" max="9" width="14.8515625" style="76" customWidth="1"/>
    <col min="10" max="10" width="16.140625" style="76" customWidth="1"/>
    <col min="11" max="11" width="13.7109375" style="76" customWidth="1"/>
    <col min="12" max="12" width="9.140625" style="76" customWidth="1"/>
    <col min="13" max="13" width="13.8515625" style="76" customWidth="1"/>
    <col min="14" max="14" width="14.8515625" style="76" customWidth="1"/>
    <col min="15" max="16384" width="9.140625" style="76" customWidth="1"/>
  </cols>
  <sheetData>
    <row r="1" spans="1:7" ht="15.75">
      <c r="A1" s="78" t="s">
        <v>164</v>
      </c>
      <c r="G1" s="284"/>
    </row>
    <row r="2" spans="1:8" ht="15.75">
      <c r="A2" s="78" t="s">
        <v>165</v>
      </c>
      <c r="G2" s="284"/>
      <c r="H2" s="284"/>
    </row>
    <row r="3" spans="1:8" ht="15.75">
      <c r="A3" s="134" t="s">
        <v>517</v>
      </c>
      <c r="H3" s="284"/>
    </row>
    <row r="4" spans="4:6" ht="15.75">
      <c r="D4" s="79"/>
      <c r="E4" s="79" t="s">
        <v>219</v>
      </c>
      <c r="F4" s="79"/>
    </row>
    <row r="5" spans="1:15" ht="15.75">
      <c r="A5" s="98" t="s">
        <v>160</v>
      </c>
      <c r="B5" s="79"/>
      <c r="C5" s="79"/>
      <c r="D5" s="79" t="s">
        <v>220</v>
      </c>
      <c r="E5" s="79" t="s">
        <v>0</v>
      </c>
      <c r="F5" s="79" t="s">
        <v>221</v>
      </c>
      <c r="G5" s="79"/>
      <c r="H5" s="79"/>
      <c r="I5" s="79"/>
      <c r="J5" s="79"/>
      <c r="O5" s="76" t="s">
        <v>331</v>
      </c>
    </row>
    <row r="6" spans="2:15" ht="18.75">
      <c r="B6" s="79" t="s">
        <v>134</v>
      </c>
      <c r="C6" s="79" t="s">
        <v>180</v>
      </c>
      <c r="D6" s="79" t="s">
        <v>155</v>
      </c>
      <c r="E6" s="79" t="s">
        <v>162</v>
      </c>
      <c r="F6" s="79" t="s">
        <v>222</v>
      </c>
      <c r="G6" s="79" t="s">
        <v>90</v>
      </c>
      <c r="H6" s="79" t="s">
        <v>1</v>
      </c>
      <c r="I6" s="79" t="s">
        <v>2</v>
      </c>
      <c r="J6" s="79" t="s">
        <v>101</v>
      </c>
      <c r="K6" s="79" t="s">
        <v>102</v>
      </c>
      <c r="L6" s="79" t="s">
        <v>153</v>
      </c>
      <c r="M6" s="79" t="s">
        <v>154</v>
      </c>
      <c r="N6" s="79" t="s">
        <v>163</v>
      </c>
      <c r="O6" s="76" t="s">
        <v>332</v>
      </c>
    </row>
    <row r="7" spans="1:16" ht="15.75">
      <c r="A7" s="77" t="s">
        <v>133</v>
      </c>
      <c r="B7" s="80" t="s">
        <v>135</v>
      </c>
      <c r="C7" s="80" t="s">
        <v>162</v>
      </c>
      <c r="D7" s="80" t="s">
        <v>162</v>
      </c>
      <c r="E7" s="80" t="s">
        <v>223</v>
      </c>
      <c r="F7" s="80" t="s">
        <v>162</v>
      </c>
      <c r="G7" s="80" t="s">
        <v>162</v>
      </c>
      <c r="H7" s="80" t="s">
        <v>162</v>
      </c>
      <c r="I7" s="80" t="s">
        <v>162</v>
      </c>
      <c r="J7" s="80" t="s">
        <v>162</v>
      </c>
      <c r="K7" s="80" t="s">
        <v>162</v>
      </c>
      <c r="L7" s="80" t="s">
        <v>162</v>
      </c>
      <c r="M7" s="80" t="s">
        <v>162</v>
      </c>
      <c r="N7" s="80" t="s">
        <v>162</v>
      </c>
      <c r="O7" s="77" t="s">
        <v>333</v>
      </c>
      <c r="P7" s="76" t="s">
        <v>392</v>
      </c>
    </row>
    <row r="8" spans="1:14" ht="15.75">
      <c r="A8" s="293" t="s">
        <v>14</v>
      </c>
      <c r="B8" s="82">
        <v>180</v>
      </c>
      <c r="C8" s="287">
        <f>(46+55)/2</f>
        <v>50.5</v>
      </c>
      <c r="D8" s="114">
        <f>1.65*B8-98.9</f>
        <v>198.1</v>
      </c>
      <c r="E8" s="88">
        <f>(D8*(36/44)/12-G8*$B$37/$C$37-H8*$B$38/$C$38-I8*$B$39/$C$39-J8*$B$40/$C$40-K8*$B$41/$C$41-L8*$B$42/$C$42-M8*$B$43/$C$43-N8*$B$44/$C$44)*$C$44/$B$44</f>
        <v>132.35333996327182</v>
      </c>
      <c r="F8" s="88">
        <f>E8+SUM(G8:N8)</f>
        <v>301.2233399632718</v>
      </c>
      <c r="G8" s="114">
        <f>2.83*B8-457</f>
        <v>52.400000000000034</v>
      </c>
      <c r="H8" s="111">
        <f>0.064*B8-10.8</f>
        <v>0.7199999999999989</v>
      </c>
      <c r="I8" s="135">
        <f>AVERAGE(Hemlock!I9:I35)*1000</f>
        <v>112.79999999999998</v>
      </c>
      <c r="J8" s="137">
        <f>AVERAGE(Hemlock!J9:J35)*1000</f>
        <v>1.2000000000000002</v>
      </c>
      <c r="K8" s="137">
        <f>AVERAGE(Hemlock!K9:K35)*1000</f>
        <v>1.75</v>
      </c>
      <c r="L8" s="82"/>
      <c r="M8" s="82"/>
      <c r="N8" s="82"/>
    </row>
    <row r="9" spans="1:14" ht="15.75">
      <c r="A9" s="294"/>
      <c r="B9" s="82">
        <v>190</v>
      </c>
      <c r="C9" s="288"/>
      <c r="D9" s="114">
        <f>1.65*B9-98.9</f>
        <v>214.6</v>
      </c>
      <c r="E9" s="88">
        <f>(D9*(36/44)/12-G9*$B$37/$C$37-H9*$B$38/$C$38-I9*$B$39/$C$39-J9*$B$40/$C$40-K9*$B$41/$C$41-L9*$B$42/$C$42-M9*$B$43/$C$43-N9*$B$44/$C$44)*$C$44/$B$44</f>
        <v>139.3765832216988</v>
      </c>
      <c r="F9" s="88">
        <f>E9+SUM(G9:N9)</f>
        <v>337.1865832216988</v>
      </c>
      <c r="G9" s="114">
        <f>2.83*B9-457</f>
        <v>80.70000000000005</v>
      </c>
      <c r="H9" s="111">
        <f>0.064*B9-10.8</f>
        <v>1.3599999999999994</v>
      </c>
      <c r="I9" s="138">
        <f aca="true" t="shared" si="0" ref="I9:K11">I8</f>
        <v>112.79999999999998</v>
      </c>
      <c r="J9" s="139">
        <f t="shared" si="0"/>
        <v>1.2000000000000002</v>
      </c>
      <c r="K9" s="139">
        <f t="shared" si="0"/>
        <v>1.75</v>
      </c>
      <c r="L9" s="82"/>
      <c r="M9" s="82"/>
      <c r="N9" s="82"/>
    </row>
    <row r="10" spans="1:14" ht="15.75">
      <c r="A10" s="294"/>
      <c r="B10" s="82">
        <v>225</v>
      </c>
      <c r="C10" s="288"/>
      <c r="D10" s="114">
        <f>1.65*B10-98.9</f>
        <v>272.35</v>
      </c>
      <c r="E10" s="88">
        <f>(D10*(36/44)/12-G10*$B$37/$C$37-H10*$B$38/$C$38-I10*$B$39/$C$39-J10*$B$40/$C$40-K10*$B$41/$C$41-L10*$B$42/$C$42-M10*$B$43/$C$43-N10*$B$44/$C$44)*$C$44/$B$44</f>
        <v>163.95793462619324</v>
      </c>
      <c r="F10" s="88">
        <f>E10+SUM(G10:N10)</f>
        <v>463.0579346261932</v>
      </c>
      <c r="G10" s="114">
        <f>2.83*B10-457</f>
        <v>179.75</v>
      </c>
      <c r="H10" s="111">
        <f>0.064*B10-10.8</f>
        <v>3.5999999999999996</v>
      </c>
      <c r="I10" s="138">
        <f t="shared" si="0"/>
        <v>112.79999999999998</v>
      </c>
      <c r="J10" s="139">
        <f t="shared" si="0"/>
        <v>1.2000000000000002</v>
      </c>
      <c r="K10" s="139">
        <f t="shared" si="0"/>
        <v>1.75</v>
      </c>
      <c r="L10" s="82"/>
      <c r="M10" s="82"/>
      <c r="N10" s="82"/>
    </row>
    <row r="11" spans="1:14" ht="31.5">
      <c r="A11" s="295"/>
      <c r="B11" s="80" t="s">
        <v>173</v>
      </c>
      <c r="C11" s="289"/>
      <c r="D11" s="112" t="s">
        <v>494</v>
      </c>
      <c r="E11" s="116"/>
      <c r="F11" s="116"/>
      <c r="G11" s="112" t="s">
        <v>233</v>
      </c>
      <c r="H11" s="113" t="s">
        <v>234</v>
      </c>
      <c r="I11" s="138">
        <f t="shared" si="0"/>
        <v>112.79999999999998</v>
      </c>
      <c r="J11" s="139">
        <f t="shared" si="0"/>
        <v>1.2000000000000002</v>
      </c>
      <c r="K11" s="139">
        <f t="shared" si="0"/>
        <v>1.75</v>
      </c>
      <c r="L11" s="77"/>
      <c r="M11" s="77"/>
      <c r="N11" s="77"/>
    </row>
    <row r="12" spans="1:11" ht="15.75">
      <c r="A12" s="293" t="s">
        <v>378</v>
      </c>
      <c r="B12" s="82">
        <v>180</v>
      </c>
      <c r="C12" s="287">
        <f>(20+22)/2</f>
        <v>21</v>
      </c>
      <c r="D12" s="88">
        <f>18.5*B12-2697.1</f>
        <v>632.9000000000001</v>
      </c>
      <c r="E12" s="88">
        <f>(D12*(36/44)/12-G12*$B$37/$C$37-H12*$B$38/$C$38-I12*$B$39/$C$39-J12*$B$40/$C$40-K12*$B$41/$C$41-L12*$B$42/$C$42-M12*$B$43/$C$43-N12*$B$44/$C$44)*$C$44/$B$44</f>
        <v>560.916570393839</v>
      </c>
      <c r="F12" s="88">
        <f>E12+SUM(G12:N12)</f>
        <v>650.618070393839</v>
      </c>
      <c r="G12" s="88">
        <f>1.53*B12-237</f>
        <v>38.39999999999998</v>
      </c>
      <c r="H12" s="92">
        <f>0.0523*B12-8.1</f>
        <v>1.314</v>
      </c>
      <c r="I12" s="280">
        <f>AVERAGE('Doug-fir'!I12:I40)*1000</f>
        <v>48.62499999999999</v>
      </c>
      <c r="J12" s="137">
        <f>AVERAGE('Doug-fir'!J12:J40)*1000</f>
        <v>0.5125</v>
      </c>
      <c r="K12" s="137">
        <f>AVERAGE('Doug-fir'!K12:K40)*1000</f>
        <v>0.85</v>
      </c>
    </row>
    <row r="13" spans="1:11" ht="15.75">
      <c r="A13" s="294"/>
      <c r="B13" s="82">
        <v>190</v>
      </c>
      <c r="C13" s="288"/>
      <c r="D13" s="88">
        <f>18.5*B13-2697.1</f>
        <v>817.9000000000001</v>
      </c>
      <c r="E13" s="88">
        <f>(D13*(36/44)/12-G13*$B$37/$C$37-H13*$B$38/$C$38-I13*$B$39/$C$39-J13*$B$40/$C$40-K13*$B$41/$C$41-L13*$B$42/$C$42-M13*$B$43/$C$43-N13*$B$44/$C$44)*$C$44/$B$44</f>
        <v>728.2634366093653</v>
      </c>
      <c r="F13" s="88">
        <f>E13+SUM(G13:N13)</f>
        <v>833.7879366093653</v>
      </c>
      <c r="G13" s="88">
        <f>1.53*B13-237</f>
        <v>53.69999999999999</v>
      </c>
      <c r="H13" s="92">
        <f>0.0523*B13-8.1</f>
        <v>1.8369999999999997</v>
      </c>
      <c r="I13" s="281">
        <f aca="true" t="shared" si="1" ref="I13:K15">I12</f>
        <v>48.62499999999999</v>
      </c>
      <c r="J13" s="139">
        <f t="shared" si="1"/>
        <v>0.5125</v>
      </c>
      <c r="K13" s="139">
        <f t="shared" si="1"/>
        <v>0.85</v>
      </c>
    </row>
    <row r="14" spans="1:11" ht="15.75">
      <c r="A14" s="294"/>
      <c r="B14" s="82">
        <v>225</v>
      </c>
      <c r="C14" s="288"/>
      <c r="D14" s="88">
        <f>18.5*B14-2697.1</f>
        <v>1465.4</v>
      </c>
      <c r="E14" s="88">
        <f>(D14*(36/44)/12-G14*$B$37/$C$37-H14*$B$38/$C$38-I14*$B$39/$C$39-J14*$B$40/$C$40-K14*$B$41/$C$41-L14*$B$42/$C$42-M14*$B$43/$C$43-N14*$B$44/$C$44)*$C$44/$B$44</f>
        <v>1313.9774683637065</v>
      </c>
      <c r="F14" s="88">
        <f>E14+SUM(G14:N14)</f>
        <v>1474.8824683637065</v>
      </c>
      <c r="G14" s="88">
        <f>1.53*B14-237</f>
        <v>107.25</v>
      </c>
      <c r="H14" s="92">
        <f>0.0523*B14-8.1</f>
        <v>3.6675000000000004</v>
      </c>
      <c r="I14" s="281">
        <f t="shared" si="1"/>
        <v>48.62499999999999</v>
      </c>
      <c r="J14" s="139">
        <f t="shared" si="1"/>
        <v>0.5125</v>
      </c>
      <c r="K14" s="139">
        <f t="shared" si="1"/>
        <v>0.85</v>
      </c>
    </row>
    <row r="15" spans="1:14" ht="31.5">
      <c r="A15" s="295"/>
      <c r="B15" s="80" t="s">
        <v>173</v>
      </c>
      <c r="C15" s="289"/>
      <c r="D15" s="112" t="s">
        <v>514</v>
      </c>
      <c r="E15" s="116"/>
      <c r="F15" s="116"/>
      <c r="G15" s="112" t="s">
        <v>515</v>
      </c>
      <c r="H15" s="115" t="s">
        <v>516</v>
      </c>
      <c r="I15" s="281">
        <f t="shared" si="1"/>
        <v>48.62499999999999</v>
      </c>
      <c r="J15" s="139">
        <f t="shared" si="1"/>
        <v>0.5125</v>
      </c>
      <c r="K15" s="139">
        <f t="shared" si="1"/>
        <v>0.85</v>
      </c>
      <c r="L15" s="77"/>
      <c r="M15" s="77"/>
      <c r="N15" s="77"/>
    </row>
    <row r="16" spans="1:11" ht="15.75">
      <c r="A16" s="293" t="s">
        <v>139</v>
      </c>
      <c r="B16" s="82">
        <v>180</v>
      </c>
      <c r="C16" s="287">
        <f>C8</f>
        <v>50.5</v>
      </c>
      <c r="D16" s="88">
        <f>4.6*B16-388</f>
        <v>439.9999999999999</v>
      </c>
      <c r="E16" s="88">
        <f>(D16*(36/44)/12-G16*$B$37/$C$37-H16*$B$38/$C$38-I16*$B$39/$C$39-J16*$B$40/$C$40-K16*$B$41/$C$41-L16*$B$42/$C$42-M16*$B$43/$C$43-N16*$B$44/$C$44)*$C$44/$B$44</f>
        <v>336.6794384566324</v>
      </c>
      <c r="F16" s="88">
        <f>E16+SUM(G16:N16)</f>
        <v>576.9494384566324</v>
      </c>
      <c r="G16" s="88">
        <f>4.96*B16-771</f>
        <v>121.79999999999995</v>
      </c>
      <c r="H16" s="92">
        <f>0.219*B16-36.7</f>
        <v>2.719999999999999</v>
      </c>
      <c r="I16" s="135">
        <f>I8</f>
        <v>112.79999999999998</v>
      </c>
      <c r="J16" s="137">
        <f>J8</f>
        <v>1.2000000000000002</v>
      </c>
      <c r="K16" s="137">
        <f>K8</f>
        <v>1.75</v>
      </c>
    </row>
    <row r="17" spans="1:11" ht="15.75">
      <c r="A17" s="294"/>
      <c r="B17" s="82">
        <v>190</v>
      </c>
      <c r="C17" s="288"/>
      <c r="D17" s="88">
        <f>4.6*B17-388</f>
        <v>485.9999999999999</v>
      </c>
      <c r="E17" s="88">
        <f>(D17*(36/44)/12-G17*$B$37/$C$37-H17*$B$38/$C$38-I17*$B$39/$C$39-J17*$B$40/$C$40-K17*$B$41/$C$41-L17*$B$42/$C$42-M17*$B$43/$C$43-N17*$B$44/$C$44)*$C$44/$B$44</f>
        <v>364.8545112860502</v>
      </c>
      <c r="F17" s="88">
        <f>E17+SUM(G17:N17)</f>
        <v>656.9145112860501</v>
      </c>
      <c r="G17" s="88">
        <f>4.96*B17-771</f>
        <v>171.39999999999998</v>
      </c>
      <c r="H17" s="92">
        <f>0.219*B17-36.7</f>
        <v>4.909999999999997</v>
      </c>
      <c r="I17" s="138">
        <f aca="true" t="shared" si="2" ref="I17:K19">I16</f>
        <v>112.79999999999998</v>
      </c>
      <c r="J17" s="139">
        <f t="shared" si="2"/>
        <v>1.2000000000000002</v>
      </c>
      <c r="K17" s="139">
        <f t="shared" si="2"/>
        <v>1.75</v>
      </c>
    </row>
    <row r="18" spans="1:11" ht="15.75">
      <c r="A18" s="294"/>
      <c r="B18" s="82">
        <v>200</v>
      </c>
      <c r="C18" s="288"/>
      <c r="D18" s="88">
        <f>4.6*B18-388</f>
        <v>531.9999999999999</v>
      </c>
      <c r="E18" s="88">
        <f>(D18*(36/44)/12-G18*$B$37/$C$37-H18*$B$38/$C$38-I18*$B$39/$C$39-J18*$B$40/$C$40-K18*$B$41/$C$41-L18*$B$42/$C$42-M18*$B$43/$C$43-N18*$B$44/$C$44)*$C$44/$B$44</f>
        <v>393.0295841154679</v>
      </c>
      <c r="F18" s="88">
        <f>E18+SUM(G18:N18)</f>
        <v>736.8795841154679</v>
      </c>
      <c r="G18" s="88">
        <f>4.96*B18-771</f>
        <v>221</v>
      </c>
      <c r="H18" s="92">
        <f>0.219*B18-36.7</f>
        <v>7.099999999999994</v>
      </c>
      <c r="I18" s="138">
        <f t="shared" si="2"/>
        <v>112.79999999999998</v>
      </c>
      <c r="J18" s="139">
        <f t="shared" si="2"/>
        <v>1.2000000000000002</v>
      </c>
      <c r="K18" s="139">
        <f t="shared" si="2"/>
        <v>1.75</v>
      </c>
    </row>
    <row r="19" spans="1:14" ht="31.5">
      <c r="A19" s="295"/>
      <c r="B19" s="80" t="s">
        <v>173</v>
      </c>
      <c r="C19" s="289"/>
      <c r="D19" s="112" t="s">
        <v>495</v>
      </c>
      <c r="E19" s="116"/>
      <c r="F19" s="116"/>
      <c r="G19" s="112" t="s">
        <v>179</v>
      </c>
      <c r="H19" s="115" t="s">
        <v>176</v>
      </c>
      <c r="I19" s="138">
        <f t="shared" si="2"/>
        <v>112.79999999999998</v>
      </c>
      <c r="J19" s="139">
        <f t="shared" si="2"/>
        <v>1.2000000000000002</v>
      </c>
      <c r="K19" s="139">
        <f t="shared" si="2"/>
        <v>1.75</v>
      </c>
      <c r="L19" s="77"/>
      <c r="M19" s="77"/>
      <c r="N19" s="77"/>
    </row>
    <row r="20" spans="1:11" ht="15.75" customHeight="1">
      <c r="A20" s="293" t="s">
        <v>5</v>
      </c>
      <c r="B20" s="82">
        <v>180</v>
      </c>
      <c r="C20" s="287">
        <f>C8</f>
        <v>50.5</v>
      </c>
      <c r="D20" s="88">
        <f>9.01*B20-1300</f>
        <v>321.79999999999995</v>
      </c>
      <c r="E20" s="88">
        <f>(D20*(36/44)/12-G20*$B$37/$C$37-H20*$B$38/$C$38-I20*$B$39/$C$39-J20*$B$40/$C$40-K20*$B$41/$C$41-L20*$B$42/$C$42-M20*$B$43/$C$43-N20*$B$44/$C$44)*$C$44/$B$44</f>
        <v>223.6145293290752</v>
      </c>
      <c r="F20" s="88">
        <f>E20+SUM(G20:N20)</f>
        <v>472.7265293290751</v>
      </c>
      <c r="G20" s="88">
        <f>5.31*B20-832</f>
        <v>123.79999999999995</v>
      </c>
      <c r="H20" s="92">
        <f>0.0709*B20-11.9</f>
        <v>0.8620000000000001</v>
      </c>
      <c r="I20" s="135">
        <f>AVERAGE(Alder!I9:I13)*1000</f>
        <v>121.5</v>
      </c>
      <c r="J20" s="137">
        <f>AVERAGE(Alder!J9:J13)*1000</f>
        <v>1.5</v>
      </c>
      <c r="K20" s="137">
        <f>AVERAGE(Alder!K9:K13)*1000</f>
        <v>1.45</v>
      </c>
    </row>
    <row r="21" spans="1:11" ht="15.75">
      <c r="A21" s="294"/>
      <c r="B21" s="82">
        <v>190</v>
      </c>
      <c r="C21" s="288"/>
      <c r="D21" s="88">
        <f aca="true" t="shared" si="3" ref="D21:D30">9.01*B21-1300</f>
        <v>411.89999999999986</v>
      </c>
      <c r="E21" s="88">
        <f>(D21*(36/44)/12-G21*$B$37/$C$37-H21*$B$38/$C$38-I21*$B$39/$C$39-J21*$B$40/$C$40-K21*$B$41/$C$41-L21*$B$42/$C$42-M21*$B$43/$C$43-N21*$B$44/$C$44)*$C$44/$B$44</f>
        <v>291.72465900221096</v>
      </c>
      <c r="F21" s="88">
        <f>E21+SUM(G21:N21)</f>
        <v>594.645659002211</v>
      </c>
      <c r="G21" s="88">
        <f>5.31*B21-832</f>
        <v>176.89999999999998</v>
      </c>
      <c r="H21" s="92">
        <f>0.0709*B21-11.9</f>
        <v>1.5709999999999997</v>
      </c>
      <c r="I21" s="138">
        <f aca="true" t="shared" si="4" ref="I21:K23">I20</f>
        <v>121.5</v>
      </c>
      <c r="J21" s="139">
        <f t="shared" si="4"/>
        <v>1.5</v>
      </c>
      <c r="K21" s="139">
        <f t="shared" si="4"/>
        <v>1.45</v>
      </c>
    </row>
    <row r="22" spans="1:11" ht="15.75">
      <c r="A22" s="294"/>
      <c r="B22" s="82">
        <v>200</v>
      </c>
      <c r="C22" s="288"/>
      <c r="D22" s="88">
        <f t="shared" si="3"/>
        <v>502</v>
      </c>
      <c r="E22" s="88">
        <f>(D22*(36/44)/12-G22*$B$37/$C$37-H22*$B$38/$C$38-I22*$B$39/$C$39-J22*$B$40/$C$40-K22*$B$41/$C$41-L22*$B$42/$C$42-M22*$B$43/$C$43-N22*$B$44/$C$44)*$C$44/$B$44</f>
        <v>359.8347886753469</v>
      </c>
      <c r="F22" s="88">
        <f>E22+SUM(G22:N22)</f>
        <v>716.5647886753468</v>
      </c>
      <c r="G22" s="88">
        <f>5.31*B22-832</f>
        <v>230</v>
      </c>
      <c r="H22" s="92">
        <f>0.0709*B22-11.9</f>
        <v>2.280000000000001</v>
      </c>
      <c r="I22" s="138">
        <f t="shared" si="4"/>
        <v>121.5</v>
      </c>
      <c r="J22" s="139">
        <f t="shared" si="4"/>
        <v>1.5</v>
      </c>
      <c r="K22" s="139">
        <f t="shared" si="4"/>
        <v>1.45</v>
      </c>
    </row>
    <row r="23" spans="1:14" ht="15.75">
      <c r="A23" s="295"/>
      <c r="B23" s="80" t="s">
        <v>173</v>
      </c>
      <c r="C23" s="289"/>
      <c r="D23" s="116" t="s">
        <v>240</v>
      </c>
      <c r="E23" s="116"/>
      <c r="F23" s="116"/>
      <c r="G23" s="116" t="s">
        <v>178</v>
      </c>
      <c r="H23" s="117" t="s">
        <v>177</v>
      </c>
      <c r="I23" s="138">
        <f t="shared" si="4"/>
        <v>121.5</v>
      </c>
      <c r="J23" s="139">
        <f t="shared" si="4"/>
        <v>1.5</v>
      </c>
      <c r="K23" s="139">
        <f t="shared" si="4"/>
        <v>1.45</v>
      </c>
      <c r="L23" s="77"/>
      <c r="M23" s="77"/>
      <c r="N23" s="77"/>
    </row>
    <row r="24" spans="1:11" ht="15.75">
      <c r="A24" s="290" t="s">
        <v>237</v>
      </c>
      <c r="B24" s="82">
        <v>180</v>
      </c>
      <c r="C24" s="287">
        <f>C20</f>
        <v>50.5</v>
      </c>
      <c r="D24" s="88">
        <f>(9.01*B24-1300)*Alder!$F$28</f>
        <v>4084.8175912043957</v>
      </c>
      <c r="E24" s="88">
        <f>(D24*(36/44)/12-G24*$B$37/$C$37-H24*$B$38/$C$38-I24*$B$39/$C$39-J24*$B$40/$C$40-K24*$B$41/$C$41-L24*$B$42/$C$42-M24*$B$43/$C$43-N24*$B$44/$C$44)*$C$44/$B$44</f>
        <v>3718.8592096684492</v>
      </c>
      <c r="F24" s="88">
        <f>E24+SUM(G24:N24)</f>
        <v>3967.9712096684493</v>
      </c>
      <c r="G24" s="88">
        <f>5.31*B24-832</f>
        <v>123.79999999999995</v>
      </c>
      <c r="H24" s="92">
        <f>0.0709*B24-11.9</f>
        <v>0.8620000000000001</v>
      </c>
      <c r="I24" s="135">
        <f>I20</f>
        <v>121.5</v>
      </c>
      <c r="J24" s="137">
        <f>J20</f>
        <v>1.5</v>
      </c>
      <c r="K24" s="137">
        <f>K20</f>
        <v>1.45</v>
      </c>
    </row>
    <row r="25" spans="1:11" ht="15.75">
      <c r="A25" s="291"/>
      <c r="B25" s="82">
        <v>190</v>
      </c>
      <c r="C25" s="288"/>
      <c r="D25" s="88">
        <f>(9.01*B25-1300)*Alder!$F$28</f>
        <v>5228.515742128931</v>
      </c>
      <c r="E25" s="88">
        <f>(D25*(36/44)/12-G25*$B$37/$C$37-H25*$B$38/$C$38-I25*$B$39/$C$39-J25*$B$40/$C$40-K25*$B$41/$C$41-L25*$B$42/$C$42-M25*$B$43/$C$43-N25*$B$44/$C$44)*$C$44/$B$44</f>
        <v>4765.594403662832</v>
      </c>
      <c r="F25" s="88">
        <f>E25+SUM(G25:N25)</f>
        <v>5068.515403662832</v>
      </c>
      <c r="G25" s="88">
        <f>5.31*B25-832</f>
        <v>176.89999999999998</v>
      </c>
      <c r="H25" s="92">
        <f>0.0709*B25-11.9</f>
        <v>1.5709999999999997</v>
      </c>
      <c r="I25" s="138">
        <f aca="true" t="shared" si="5" ref="I25:K27">I24</f>
        <v>121.5</v>
      </c>
      <c r="J25" s="139">
        <f t="shared" si="5"/>
        <v>1.5</v>
      </c>
      <c r="K25" s="139">
        <f t="shared" si="5"/>
        <v>1.45</v>
      </c>
    </row>
    <row r="26" spans="1:11" ht="15.75">
      <c r="A26" s="291"/>
      <c r="B26" s="82">
        <v>200</v>
      </c>
      <c r="C26" s="288"/>
      <c r="D26" s="88">
        <f>(9.01*B26-1300)*Alder!$F$28</f>
        <v>6372.213893053471</v>
      </c>
      <c r="E26" s="88">
        <f>(D26*(36/44)/12-G26*$B$37/$C$37-H26*$B$38/$C$38-I26*$B$39/$C$39-J26*$B$40/$C$40-K26*$B$41/$C$41-L26*$B$42/$C$42-M26*$B$43/$C$43-N26*$B$44/$C$44)*$C$44/$B$44</f>
        <v>5812.329597657218</v>
      </c>
      <c r="F26" s="88">
        <f>E26+SUM(G26:N26)</f>
        <v>6169.059597657218</v>
      </c>
      <c r="G26" s="88">
        <f>5.31*B26-832</f>
        <v>230</v>
      </c>
      <c r="H26" s="92">
        <f>0.0709*B26-11.9</f>
        <v>2.280000000000001</v>
      </c>
      <c r="I26" s="138">
        <f t="shared" si="5"/>
        <v>121.5</v>
      </c>
      <c r="J26" s="139">
        <f t="shared" si="5"/>
        <v>1.5</v>
      </c>
      <c r="K26" s="139">
        <f t="shared" si="5"/>
        <v>1.45</v>
      </c>
    </row>
    <row r="27" spans="1:14" ht="15.75">
      <c r="A27" s="292"/>
      <c r="B27" s="80" t="s">
        <v>173</v>
      </c>
      <c r="C27" s="289"/>
      <c r="D27" s="116" t="s">
        <v>241</v>
      </c>
      <c r="E27" s="116"/>
      <c r="F27" s="116"/>
      <c r="G27" s="116" t="s">
        <v>178</v>
      </c>
      <c r="H27" s="117" t="s">
        <v>177</v>
      </c>
      <c r="I27" s="138">
        <f t="shared" si="5"/>
        <v>121.5</v>
      </c>
      <c r="J27" s="139">
        <f t="shared" si="5"/>
        <v>1.5</v>
      </c>
      <c r="K27" s="139">
        <f t="shared" si="5"/>
        <v>1.45</v>
      </c>
      <c r="L27" s="77"/>
      <c r="M27" s="77"/>
      <c r="N27" s="77"/>
    </row>
    <row r="28" spans="1:11" ht="15.75">
      <c r="A28" s="293" t="s">
        <v>6</v>
      </c>
      <c r="B28" s="82">
        <v>180</v>
      </c>
      <c r="C28" s="287">
        <f>C8</f>
        <v>50.5</v>
      </c>
      <c r="D28" s="88">
        <f t="shared" si="3"/>
        <v>321.79999999999995</v>
      </c>
      <c r="E28" s="88">
        <f>(D28*(36/44)/12-G28*$B$37/$C$37-H28*$B$38/$C$38-I28*$B$39/$C$39-J28*$B$40/$C$40-K28*$B$41/$C$41-L28*$B$42/$C$42-M28*$B$43/$C$43-N28*$B$44/$C$44)*$C$44/$B$44</f>
        <v>223.6145293290752</v>
      </c>
      <c r="F28" s="88">
        <f>E28+SUM(G28:N28)</f>
        <v>472.7265293290751</v>
      </c>
      <c r="G28" s="88">
        <f>5.31*B28-832</f>
        <v>123.79999999999995</v>
      </c>
      <c r="H28" s="92">
        <f>0.0709*B28-11.9</f>
        <v>0.8620000000000001</v>
      </c>
      <c r="I28" s="135">
        <f>I20</f>
        <v>121.5</v>
      </c>
      <c r="J28" s="137">
        <f>J20</f>
        <v>1.5</v>
      </c>
      <c r="K28" s="137">
        <f>K20</f>
        <v>1.45</v>
      </c>
    </row>
    <row r="29" spans="1:11" ht="15.75">
      <c r="A29" s="294"/>
      <c r="B29" s="82">
        <v>190</v>
      </c>
      <c r="C29" s="288"/>
      <c r="D29" s="88">
        <f t="shared" si="3"/>
        <v>411.89999999999986</v>
      </c>
      <c r="E29" s="88">
        <f>(D29*(36/44)/12-G29*$B$37/$C$37-H29*$B$38/$C$38-I29*$B$39/$C$39-J29*$B$40/$C$40-K29*$B$41/$C$41-L29*$B$42/$C$42-M29*$B$43/$C$43-N29*$B$44/$C$44)*$C$44/$B$44</f>
        <v>291.72465900221096</v>
      </c>
      <c r="F29" s="88">
        <f>E29+SUM(G29:N29)</f>
        <v>594.645659002211</v>
      </c>
      <c r="G29" s="88">
        <f>5.31*B29-832</f>
        <v>176.89999999999998</v>
      </c>
      <c r="H29" s="92">
        <f>0.0709*B29-11.9</f>
        <v>1.5709999999999997</v>
      </c>
      <c r="I29" s="138">
        <f aca="true" t="shared" si="6" ref="I29:K31">I28</f>
        <v>121.5</v>
      </c>
      <c r="J29" s="139">
        <f t="shared" si="6"/>
        <v>1.5</v>
      </c>
      <c r="K29" s="139">
        <f t="shared" si="6"/>
        <v>1.45</v>
      </c>
    </row>
    <row r="30" spans="1:11" ht="15.75">
      <c r="A30" s="294"/>
      <c r="B30" s="82">
        <v>200</v>
      </c>
      <c r="C30" s="288"/>
      <c r="D30" s="88">
        <f t="shared" si="3"/>
        <v>502</v>
      </c>
      <c r="E30" s="88">
        <f>(D30*(36/44)/12-G30*$B$37/$C$37-H30*$B$38/$C$38-I30*$B$39/$C$39-J30*$B$40/$C$40-K30*$B$41/$C$41-L30*$B$42/$C$42-M30*$B$43/$C$43-N30*$B$44/$C$44)*$C$44/$B$44</f>
        <v>359.8347886753469</v>
      </c>
      <c r="F30" s="88">
        <f>E30+SUM(G30:N30)</f>
        <v>716.5647886753468</v>
      </c>
      <c r="G30" s="88">
        <f>5.31*B30-832</f>
        <v>230</v>
      </c>
      <c r="H30" s="92">
        <f>0.0709*B30-11.9</f>
        <v>2.280000000000001</v>
      </c>
      <c r="I30" s="138">
        <f t="shared" si="6"/>
        <v>121.5</v>
      </c>
      <c r="J30" s="139">
        <f t="shared" si="6"/>
        <v>1.5</v>
      </c>
      <c r="K30" s="139">
        <f t="shared" si="6"/>
        <v>1.45</v>
      </c>
    </row>
    <row r="31" spans="1:14" ht="15.75">
      <c r="A31" s="295"/>
      <c r="B31" s="80" t="s">
        <v>173</v>
      </c>
      <c r="C31" s="289"/>
      <c r="D31" s="118" t="str">
        <f>D23</f>
        <v>9.01*(T) - 1,300</v>
      </c>
      <c r="E31" s="118"/>
      <c r="F31" s="118"/>
      <c r="G31" s="118" t="str">
        <f>G23</f>
        <v>5.31*(T) - 832</v>
      </c>
      <c r="H31" s="118" t="str">
        <f>H23</f>
        <v>7.09E-02*(T) - 11.9</v>
      </c>
      <c r="I31" s="136">
        <f t="shared" si="6"/>
        <v>121.5</v>
      </c>
      <c r="J31" s="140">
        <f t="shared" si="6"/>
        <v>1.5</v>
      </c>
      <c r="K31" s="140">
        <f t="shared" si="6"/>
        <v>1.45</v>
      </c>
      <c r="L31" s="77"/>
      <c r="M31" s="77"/>
      <c r="N31" s="77"/>
    </row>
    <row r="32" spans="2:11" ht="15.75">
      <c r="B32" s="79"/>
      <c r="C32" s="79"/>
      <c r="D32" s="105"/>
      <c r="E32" s="105"/>
      <c r="F32" s="105"/>
      <c r="G32" s="105"/>
      <c r="H32" s="105"/>
      <c r="I32" s="107"/>
      <c r="J32" s="106"/>
      <c r="K32" s="106"/>
    </row>
    <row r="33" spans="2:11" ht="15.75">
      <c r="B33" s="79"/>
      <c r="C33" s="79"/>
      <c r="D33" s="105"/>
      <c r="E33" s="105"/>
      <c r="F33" s="105"/>
      <c r="G33" s="105"/>
      <c r="H33" s="105"/>
      <c r="I33" s="107"/>
      <c r="J33" s="106"/>
      <c r="K33" s="106"/>
    </row>
    <row r="34" spans="1:11" ht="15.75">
      <c r="A34" s="78" t="s">
        <v>213</v>
      </c>
      <c r="J34" s="106"/>
      <c r="K34" s="106"/>
    </row>
    <row r="35" spans="2:11" ht="15.75">
      <c r="B35" s="79" t="s">
        <v>214</v>
      </c>
      <c r="C35" s="79" t="s">
        <v>215</v>
      </c>
      <c r="J35" s="106"/>
      <c r="K35" s="106"/>
    </row>
    <row r="36" spans="1:11" ht="15.75">
      <c r="A36" s="77" t="s">
        <v>216</v>
      </c>
      <c r="B36" s="80" t="s">
        <v>217</v>
      </c>
      <c r="C36" s="80" t="s">
        <v>218</v>
      </c>
      <c r="D36" s="77" t="s">
        <v>3</v>
      </c>
      <c r="E36" s="77" t="s">
        <v>311</v>
      </c>
      <c r="F36" s="141"/>
      <c r="J36" s="106"/>
      <c r="K36" s="106"/>
    </row>
    <row r="37" spans="1:11" ht="18.75">
      <c r="A37" s="76" t="s">
        <v>90</v>
      </c>
      <c r="B37" s="79">
        <f>0.69</f>
        <v>0.6900000000000001</v>
      </c>
      <c r="C37" s="79">
        <v>32.04</v>
      </c>
      <c r="D37" s="76" t="s">
        <v>224</v>
      </c>
      <c r="E37" s="76" t="s">
        <v>312</v>
      </c>
      <c r="J37" s="106"/>
      <c r="K37" s="106"/>
    </row>
    <row r="38" spans="1:11" ht="18.75">
      <c r="A38" s="76" t="s">
        <v>1</v>
      </c>
      <c r="B38" s="79">
        <f>0</f>
        <v>0</v>
      </c>
      <c r="C38" s="79">
        <v>30.04</v>
      </c>
      <c r="D38" s="76" t="s">
        <v>225</v>
      </c>
      <c r="E38" s="76" t="s">
        <v>313</v>
      </c>
      <c r="J38" s="106"/>
      <c r="K38" s="106"/>
    </row>
    <row r="39" spans="1:11" ht="18.75">
      <c r="A39" s="76" t="s">
        <v>2</v>
      </c>
      <c r="B39" s="187">
        <v>1</v>
      </c>
      <c r="C39" s="79">
        <v>44.05</v>
      </c>
      <c r="D39" s="76" t="s">
        <v>226</v>
      </c>
      <c r="E39" s="76" t="s">
        <v>334</v>
      </c>
      <c r="H39" s="285"/>
      <c r="I39" s="285"/>
      <c r="J39" s="106"/>
      <c r="K39" s="106"/>
    </row>
    <row r="40" spans="1:11" ht="18.75">
      <c r="A40" s="76" t="s">
        <v>101</v>
      </c>
      <c r="B40" s="187">
        <v>2</v>
      </c>
      <c r="C40" s="79">
        <v>58.08</v>
      </c>
      <c r="D40" s="76" t="s">
        <v>227</v>
      </c>
      <c r="E40" s="76" t="s">
        <v>335</v>
      </c>
      <c r="H40" s="285"/>
      <c r="I40" s="285"/>
      <c r="J40" s="106"/>
      <c r="K40" s="106"/>
    </row>
    <row r="41" spans="1:11" ht="18.75">
      <c r="A41" s="76" t="s">
        <v>102</v>
      </c>
      <c r="B41" s="97">
        <v>1.95</v>
      </c>
      <c r="C41" s="79">
        <v>56.06</v>
      </c>
      <c r="D41" s="76" t="s">
        <v>518</v>
      </c>
      <c r="E41" s="76" t="s">
        <v>336</v>
      </c>
      <c r="H41" s="285"/>
      <c r="I41" s="285"/>
      <c r="J41" s="106"/>
      <c r="K41" s="106"/>
    </row>
    <row r="42" spans="1:11" ht="18.75">
      <c r="A42" s="76" t="s">
        <v>153</v>
      </c>
      <c r="B42" s="79">
        <f>1.4</f>
        <v>1.4</v>
      </c>
      <c r="C42" s="79">
        <v>46.07</v>
      </c>
      <c r="D42" s="76" t="s">
        <v>228</v>
      </c>
      <c r="E42" s="76" t="s">
        <v>314</v>
      </c>
      <c r="J42" s="106"/>
      <c r="K42" s="106"/>
    </row>
    <row r="43" spans="1:11" ht="18.75">
      <c r="A43" s="76" t="s">
        <v>154</v>
      </c>
      <c r="B43" s="79">
        <v>0.453</v>
      </c>
      <c r="C43" s="79">
        <v>60.05</v>
      </c>
      <c r="D43" s="76" t="s">
        <v>229</v>
      </c>
      <c r="E43" s="76" t="s">
        <v>315</v>
      </c>
      <c r="J43" s="106"/>
      <c r="K43" s="106"/>
    </row>
    <row r="44" spans="1:11" ht="18.75">
      <c r="A44" s="76" t="s">
        <v>163</v>
      </c>
      <c r="B44" s="79">
        <v>10</v>
      </c>
      <c r="C44" s="79">
        <v>136.23</v>
      </c>
      <c r="D44" s="76" t="s">
        <v>230</v>
      </c>
      <c r="E44" s="76" t="s">
        <v>316</v>
      </c>
      <c r="J44" s="106"/>
      <c r="K44" s="106"/>
    </row>
    <row r="45" spans="10:11" ht="15.75">
      <c r="J45" s="106"/>
      <c r="K45" s="106"/>
    </row>
    <row r="46" spans="1:11" ht="18">
      <c r="A46" s="76" t="s">
        <v>231</v>
      </c>
      <c r="J46" s="106"/>
      <c r="K46" s="106"/>
    </row>
    <row r="47" spans="1:11" ht="18">
      <c r="A47" s="76" t="s">
        <v>232</v>
      </c>
      <c r="J47" s="106"/>
      <c r="K47" s="106"/>
    </row>
    <row r="48" spans="2:11" ht="15">
      <c r="B48" s="79"/>
      <c r="C48" s="79"/>
      <c r="D48" s="105"/>
      <c r="E48" s="105"/>
      <c r="F48" s="105"/>
      <c r="G48" s="105"/>
      <c r="H48" s="105"/>
      <c r="I48" s="107"/>
      <c r="J48" s="106"/>
      <c r="K48" s="106"/>
    </row>
    <row r="49" spans="2:11" ht="15">
      <c r="B49" s="79"/>
      <c r="C49" s="79"/>
      <c r="D49" s="105"/>
      <c r="E49" s="105"/>
      <c r="F49" s="105"/>
      <c r="G49" s="105"/>
      <c r="H49" s="105"/>
      <c r="I49" s="104"/>
      <c r="J49" s="104"/>
      <c r="K49" s="104"/>
    </row>
    <row r="50" spans="1:11" ht="15.75" customHeight="1">
      <c r="A50" s="98" t="s">
        <v>161</v>
      </c>
      <c r="B50" s="79"/>
      <c r="C50" s="79"/>
      <c r="D50" s="100"/>
      <c r="E50" s="100"/>
      <c r="F50" s="100"/>
      <c r="G50" s="101"/>
      <c r="H50" s="101"/>
      <c r="I50" s="79"/>
      <c r="J50" s="79"/>
      <c r="K50" s="79"/>
    </row>
    <row r="51" spans="1:12" ht="15">
      <c r="A51" s="76" t="s">
        <v>140</v>
      </c>
      <c r="B51" s="79" t="s">
        <v>149</v>
      </c>
      <c r="C51" s="79"/>
      <c r="D51" s="88"/>
      <c r="E51" s="88"/>
      <c r="F51" s="88"/>
      <c r="G51" s="79">
        <v>184</v>
      </c>
      <c r="H51" s="79">
        <v>65</v>
      </c>
      <c r="I51" s="79">
        <v>2.9</v>
      </c>
      <c r="J51" s="79">
        <v>113</v>
      </c>
      <c r="K51" s="79">
        <v>1</v>
      </c>
      <c r="L51" s="79">
        <v>1.6</v>
      </c>
    </row>
    <row r="52" spans="1:12" ht="15">
      <c r="A52" s="76" t="s">
        <v>141</v>
      </c>
      <c r="B52" s="79" t="s">
        <v>149</v>
      </c>
      <c r="C52" s="79"/>
      <c r="D52" s="88"/>
      <c r="E52" s="88"/>
      <c r="F52" s="88"/>
      <c r="G52" s="79">
        <v>73.6</v>
      </c>
      <c r="H52" s="79">
        <v>55</v>
      </c>
      <c r="I52" s="79">
        <v>4</v>
      </c>
      <c r="J52" s="79">
        <v>12</v>
      </c>
      <c r="K52" s="79">
        <v>1</v>
      </c>
      <c r="L52" s="79">
        <v>1.6</v>
      </c>
    </row>
    <row r="53" spans="1:12" ht="15">
      <c r="A53" s="76" t="s">
        <v>141</v>
      </c>
      <c r="B53" s="79" t="s">
        <v>143</v>
      </c>
      <c r="C53" s="79"/>
      <c r="D53" s="88"/>
      <c r="E53" s="88"/>
      <c r="F53" s="88"/>
      <c r="G53" s="79">
        <v>78.6</v>
      </c>
      <c r="H53" s="79">
        <v>60</v>
      </c>
      <c r="I53" s="79">
        <v>4</v>
      </c>
      <c r="J53" s="79">
        <v>12</v>
      </c>
      <c r="K53" s="79">
        <v>1</v>
      </c>
      <c r="L53" s="79">
        <v>1.6</v>
      </c>
    </row>
    <row r="54" spans="1:12" ht="15">
      <c r="A54" s="76" t="s">
        <v>142</v>
      </c>
      <c r="B54" s="79" t="s">
        <v>143</v>
      </c>
      <c r="C54" s="79"/>
      <c r="D54" s="88"/>
      <c r="E54" s="88"/>
      <c r="F54" s="88"/>
      <c r="G54" s="79">
        <v>215</v>
      </c>
      <c r="H54" s="79">
        <v>164</v>
      </c>
      <c r="I54" s="79">
        <v>4</v>
      </c>
      <c r="J54" s="79">
        <v>44.7</v>
      </c>
      <c r="K54" s="79">
        <v>1</v>
      </c>
      <c r="L54" s="79">
        <v>1.6</v>
      </c>
    </row>
    <row r="57" ht="15">
      <c r="A57" s="103"/>
    </row>
    <row r="58" ht="15">
      <c r="A58" s="103"/>
    </row>
  </sheetData>
  <sheetProtection/>
  <mergeCells count="12">
    <mergeCell ref="C28:C31"/>
    <mergeCell ref="A8:A11"/>
    <mergeCell ref="A12:A15"/>
    <mergeCell ref="A16:A19"/>
    <mergeCell ref="A20:A23"/>
    <mergeCell ref="A28:A31"/>
    <mergeCell ref="C8:C11"/>
    <mergeCell ref="C12:C15"/>
    <mergeCell ref="C16:C19"/>
    <mergeCell ref="C20:C23"/>
    <mergeCell ref="C24:C27"/>
    <mergeCell ref="A24:A27"/>
  </mergeCells>
  <printOptions/>
  <pageMargins left="0.7" right="0.7" top="0.75" bottom="0.75" header="0.3" footer="0.3"/>
  <pageSetup fitToHeight="1" fitToWidth="1" horizontalDpi="600" verticalDpi="600" orientation="landscape" scale="63"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K56"/>
  <sheetViews>
    <sheetView zoomScalePageLayoutView="0" workbookViewId="0" topLeftCell="A4">
      <selection activeCell="F41" sqref="F41"/>
    </sheetView>
  </sheetViews>
  <sheetFormatPr defaultColWidth="9.140625" defaultRowHeight="12.75"/>
  <cols>
    <col min="1" max="1" width="41.7109375" style="0" customWidth="1"/>
    <col min="2" max="2" width="28.140625" style="0" customWidth="1"/>
    <col min="3" max="3" width="13.140625" style="160" bestFit="1" customWidth="1"/>
    <col min="4" max="4" width="11.421875" style="2" bestFit="1" customWidth="1"/>
    <col min="5" max="5" width="12.7109375" style="2" bestFit="1" customWidth="1"/>
    <col min="6" max="6" width="41.421875" style="0" bestFit="1" customWidth="1"/>
    <col min="7" max="7" width="77.57421875" style="0" customWidth="1"/>
    <col min="8" max="8" width="22.8515625" style="161" customWidth="1"/>
    <col min="9" max="9" width="11.00390625" style="184" customWidth="1"/>
    <col min="10" max="10" width="12.00390625" style="73" customWidth="1"/>
    <col min="11" max="11" width="9.57421875" style="0" customWidth="1"/>
    <col min="13" max="13" width="10.140625" style="0" bestFit="1" customWidth="1"/>
    <col min="16" max="16" width="17.00390625" style="0" customWidth="1"/>
    <col min="21" max="21" width="15.28125" style="0" customWidth="1"/>
    <col min="22" max="22" width="15.57421875" style="0" customWidth="1"/>
    <col min="23" max="23" width="13.7109375" style="0" customWidth="1"/>
  </cols>
  <sheetData>
    <row r="1" spans="1:3" ht="18">
      <c r="A1" s="83" t="s">
        <v>353</v>
      </c>
      <c r="B1" s="83"/>
      <c r="C1" s="156"/>
    </row>
    <row r="2" spans="1:3" ht="18">
      <c r="A2" s="83"/>
      <c r="B2" s="83"/>
      <c r="C2" s="156"/>
    </row>
    <row r="3" spans="1:37" ht="12.75">
      <c r="A3" s="1"/>
      <c r="B3" s="1"/>
      <c r="C3" s="157" t="s">
        <v>221</v>
      </c>
      <c r="D3" s="153" t="s">
        <v>168</v>
      </c>
      <c r="E3" s="153" t="s">
        <v>168</v>
      </c>
      <c r="F3" s="1"/>
      <c r="G3" s="1"/>
      <c r="H3" s="162"/>
      <c r="I3" s="185"/>
      <c r="J3" s="191"/>
      <c r="K3" s="1"/>
      <c r="L3" s="1"/>
      <c r="AD3" s="160"/>
      <c r="AE3" s="2"/>
      <c r="AF3" s="2" t="s">
        <v>366</v>
      </c>
      <c r="AI3" s="161"/>
      <c r="AJ3" s="184"/>
      <c r="AK3" s="73"/>
    </row>
    <row r="4" spans="1:37" ht="12.75">
      <c r="A4" s="1"/>
      <c r="B4" s="1"/>
      <c r="C4" s="157" t="s">
        <v>286</v>
      </c>
      <c r="D4" s="153" t="s">
        <v>252</v>
      </c>
      <c r="E4" s="153" t="s">
        <v>110</v>
      </c>
      <c r="F4" s="1"/>
      <c r="G4" s="1"/>
      <c r="H4" s="162"/>
      <c r="I4" s="185" t="s">
        <v>328</v>
      </c>
      <c r="J4" s="153"/>
      <c r="K4" s="153" t="s">
        <v>396</v>
      </c>
      <c r="L4" s="301" t="s">
        <v>398</v>
      </c>
      <c r="M4" s="302"/>
      <c r="AC4" s="13" t="s">
        <v>133</v>
      </c>
      <c r="AD4" s="202"/>
      <c r="AE4" s="16"/>
      <c r="AF4" s="16" t="s">
        <v>0</v>
      </c>
      <c r="AG4" s="14" t="s">
        <v>90</v>
      </c>
      <c r="AH4" s="14" t="s">
        <v>1</v>
      </c>
      <c r="AI4" s="14" t="s">
        <v>2</v>
      </c>
      <c r="AJ4" s="14" t="s">
        <v>101</v>
      </c>
      <c r="AK4" s="14" t="s">
        <v>102</v>
      </c>
    </row>
    <row r="5" spans="1:37" ht="12.75">
      <c r="A5" s="1"/>
      <c r="B5" s="1"/>
      <c r="C5" s="157" t="s">
        <v>287</v>
      </c>
      <c r="D5" s="153" t="s">
        <v>253</v>
      </c>
      <c r="E5" s="153" t="s">
        <v>47</v>
      </c>
      <c r="F5" s="1" t="s">
        <v>298</v>
      </c>
      <c r="G5" s="1"/>
      <c r="H5" s="162"/>
      <c r="I5" s="185" t="s">
        <v>329</v>
      </c>
      <c r="J5" s="153" t="s">
        <v>394</v>
      </c>
      <c r="K5" s="153" t="s">
        <v>329</v>
      </c>
      <c r="L5" s="302"/>
      <c r="M5" s="302"/>
      <c r="AC5" s="3" t="s">
        <v>5</v>
      </c>
      <c r="AD5" s="160">
        <v>2</v>
      </c>
      <c r="AE5" s="2"/>
      <c r="AF5" s="2">
        <v>5</v>
      </c>
      <c r="AG5" s="2">
        <v>2</v>
      </c>
      <c r="AH5" s="2">
        <v>2</v>
      </c>
      <c r="AI5" s="45" t="s">
        <v>367</v>
      </c>
      <c r="AJ5" s="184" t="s">
        <v>367</v>
      </c>
      <c r="AK5" s="2">
        <v>2</v>
      </c>
    </row>
    <row r="6" spans="1:37" ht="12.75">
      <c r="A6" s="154" t="s">
        <v>250</v>
      </c>
      <c r="B6" s="154" t="s">
        <v>258</v>
      </c>
      <c r="C6" s="158" t="s">
        <v>288</v>
      </c>
      <c r="D6" s="155" t="s">
        <v>352</v>
      </c>
      <c r="E6" s="155" t="s">
        <v>57</v>
      </c>
      <c r="F6" s="154" t="s">
        <v>254</v>
      </c>
      <c r="G6" s="154" t="s">
        <v>259</v>
      </c>
      <c r="H6" s="163" t="s">
        <v>290</v>
      </c>
      <c r="I6" s="186" t="s">
        <v>330</v>
      </c>
      <c r="J6" s="155" t="s">
        <v>395</v>
      </c>
      <c r="K6" s="155" t="s">
        <v>397</v>
      </c>
      <c r="L6" s="155" t="s">
        <v>399</v>
      </c>
      <c r="M6" s="155" t="s">
        <v>400</v>
      </c>
      <c r="AC6" s="3" t="s">
        <v>369</v>
      </c>
      <c r="AD6" s="160">
        <v>1</v>
      </c>
      <c r="AE6" s="2"/>
      <c r="AF6" s="2">
        <v>2</v>
      </c>
      <c r="AG6" s="2">
        <v>0</v>
      </c>
      <c r="AH6" s="2">
        <v>0</v>
      </c>
      <c r="AI6" s="45" t="s">
        <v>368</v>
      </c>
      <c r="AJ6" s="45" t="s">
        <v>368</v>
      </c>
      <c r="AK6" s="2">
        <v>0</v>
      </c>
    </row>
    <row r="7" spans="1:37" ht="12.75">
      <c r="A7" s="3" t="s">
        <v>251</v>
      </c>
      <c r="B7" s="3" t="s">
        <v>260</v>
      </c>
      <c r="C7" s="159">
        <v>60000</v>
      </c>
      <c r="D7" s="19" t="s">
        <v>291</v>
      </c>
      <c r="E7" s="19" t="s">
        <v>289</v>
      </c>
      <c r="F7" s="3" t="s">
        <v>292</v>
      </c>
      <c r="G7" s="193" t="s">
        <v>289</v>
      </c>
      <c r="H7" s="194" t="s">
        <v>289</v>
      </c>
      <c r="I7" s="190"/>
      <c r="AC7" s="3" t="s">
        <v>6</v>
      </c>
      <c r="AD7" s="160">
        <v>1</v>
      </c>
      <c r="AE7" s="2"/>
      <c r="AF7" s="2">
        <v>0</v>
      </c>
      <c r="AG7" s="2">
        <v>0</v>
      </c>
      <c r="AH7" s="2">
        <v>0</v>
      </c>
      <c r="AI7" s="45" t="s">
        <v>368</v>
      </c>
      <c r="AJ7" s="45" t="s">
        <v>368</v>
      </c>
      <c r="AK7" s="2">
        <v>0</v>
      </c>
    </row>
    <row r="8" spans="1:37" ht="12.75">
      <c r="A8" s="120" t="s">
        <v>255</v>
      </c>
      <c r="B8" s="3" t="s">
        <v>261</v>
      </c>
      <c r="C8" s="159">
        <f>109190*6+67000*5+470000</f>
        <v>1460140</v>
      </c>
      <c r="D8" s="203">
        <f>46.5+23.45+31.584</f>
        <v>101.534</v>
      </c>
      <c r="E8" s="19">
        <v>250</v>
      </c>
      <c r="F8" s="3" t="s">
        <v>292</v>
      </c>
      <c r="G8" s="3" t="s">
        <v>393</v>
      </c>
      <c r="H8" s="164" t="s">
        <v>293</v>
      </c>
      <c r="I8" s="45" t="s">
        <v>340</v>
      </c>
      <c r="J8" s="192">
        <v>38408</v>
      </c>
      <c r="K8" s="231">
        <v>35812</v>
      </c>
      <c r="L8" s="3" t="s">
        <v>402</v>
      </c>
      <c r="M8" s="41">
        <v>35632</v>
      </c>
      <c r="O8" s="41"/>
      <c r="AC8" s="3" t="s">
        <v>296</v>
      </c>
      <c r="AD8" s="160">
        <v>3</v>
      </c>
      <c r="AE8" s="2"/>
      <c r="AF8" s="2">
        <v>10</v>
      </c>
      <c r="AG8" s="2">
        <v>7</v>
      </c>
      <c r="AH8" s="2">
        <v>7</v>
      </c>
      <c r="AI8" s="45" t="s">
        <v>370</v>
      </c>
      <c r="AJ8" s="45" t="s">
        <v>370</v>
      </c>
      <c r="AK8" s="2">
        <v>6</v>
      </c>
    </row>
    <row r="9" spans="1:37" ht="12.75">
      <c r="A9" s="3" t="s">
        <v>256</v>
      </c>
      <c r="B9" s="3" t="s">
        <v>262</v>
      </c>
      <c r="C9" s="159">
        <f>60000+88972</f>
        <v>148972</v>
      </c>
      <c r="D9" s="19">
        <v>40.3</v>
      </c>
      <c r="E9" s="19">
        <v>225</v>
      </c>
      <c r="F9" s="3" t="s">
        <v>358</v>
      </c>
      <c r="G9" s="58" t="s">
        <v>317</v>
      </c>
      <c r="H9" s="164" t="s">
        <v>294</v>
      </c>
      <c r="I9" s="45" t="s">
        <v>341</v>
      </c>
      <c r="J9" s="192">
        <v>38505</v>
      </c>
      <c r="K9" s="222">
        <f>90+M9</f>
        <v>38496</v>
      </c>
      <c r="L9" s="164" t="s">
        <v>449</v>
      </c>
      <c r="M9" s="41">
        <v>38406</v>
      </c>
      <c r="AC9" s="3" t="s">
        <v>361</v>
      </c>
      <c r="AD9" s="160">
        <v>1</v>
      </c>
      <c r="AE9" s="2"/>
      <c r="AF9" s="2">
        <v>3</v>
      </c>
      <c r="AG9" s="2">
        <v>0</v>
      </c>
      <c r="AH9" s="2">
        <v>0</v>
      </c>
      <c r="AI9" s="45" t="s">
        <v>368</v>
      </c>
      <c r="AJ9" s="45" t="s">
        <v>368</v>
      </c>
      <c r="AK9" s="2">
        <v>0</v>
      </c>
    </row>
    <row r="10" spans="1:37" ht="12.75">
      <c r="A10" s="3" t="s">
        <v>257</v>
      </c>
      <c r="B10" s="3" t="s">
        <v>263</v>
      </c>
      <c r="C10" s="159">
        <f>50000</f>
        <v>50000</v>
      </c>
      <c r="D10" s="122" t="s">
        <v>295</v>
      </c>
      <c r="E10" s="19">
        <v>250</v>
      </c>
      <c r="F10" s="3" t="s">
        <v>299</v>
      </c>
      <c r="G10" s="58" t="s">
        <v>365</v>
      </c>
      <c r="H10" s="164" t="s">
        <v>359</v>
      </c>
      <c r="I10" s="45" t="s">
        <v>360</v>
      </c>
      <c r="J10" s="192">
        <v>39240</v>
      </c>
      <c r="K10" s="222">
        <f>M10+90</f>
        <v>38513</v>
      </c>
      <c r="L10" s="3" t="s">
        <v>403</v>
      </c>
      <c r="M10" s="41">
        <v>38423</v>
      </c>
      <c r="N10" s="3" t="s">
        <v>404</v>
      </c>
      <c r="AC10" s="3" t="s">
        <v>14</v>
      </c>
      <c r="AD10" s="160">
        <v>2</v>
      </c>
      <c r="AE10" s="2"/>
      <c r="AF10" s="2">
        <v>22</v>
      </c>
      <c r="AG10" s="2">
        <v>16</v>
      </c>
      <c r="AH10" s="2">
        <v>16</v>
      </c>
      <c r="AI10" s="45" t="s">
        <v>371</v>
      </c>
      <c r="AJ10" s="45" t="s">
        <v>371</v>
      </c>
      <c r="AK10" s="2">
        <v>5</v>
      </c>
    </row>
    <row r="11" spans="1:37" ht="12.75">
      <c r="A11" s="3" t="s">
        <v>264</v>
      </c>
      <c r="B11" s="3" t="s">
        <v>265</v>
      </c>
      <c r="C11" s="165" t="s">
        <v>297</v>
      </c>
      <c r="D11" s="19">
        <v>53.1</v>
      </c>
      <c r="E11" s="19">
        <v>200</v>
      </c>
      <c r="F11" s="3" t="s">
        <v>296</v>
      </c>
      <c r="G11" s="58" t="s">
        <v>407</v>
      </c>
      <c r="H11" s="225" t="s">
        <v>405</v>
      </c>
      <c r="I11" s="168" t="s">
        <v>406</v>
      </c>
      <c r="J11" s="46" t="s">
        <v>401</v>
      </c>
      <c r="K11" s="222">
        <v>41486</v>
      </c>
      <c r="L11" s="224" t="s">
        <v>405</v>
      </c>
      <c r="M11" s="41">
        <v>40275</v>
      </c>
      <c r="AC11" s="3" t="s">
        <v>139</v>
      </c>
      <c r="AD11" s="202">
        <v>1</v>
      </c>
      <c r="AE11" s="2"/>
      <c r="AF11" s="2">
        <v>5</v>
      </c>
      <c r="AG11" s="2">
        <v>4</v>
      </c>
      <c r="AH11" s="2">
        <v>4</v>
      </c>
      <c r="AI11" s="45" t="s">
        <v>368</v>
      </c>
      <c r="AJ11" s="45" t="s">
        <v>368</v>
      </c>
      <c r="AK11" s="2">
        <v>0</v>
      </c>
    </row>
    <row r="12" spans="1:37" ht="12.75">
      <c r="A12" s="3" t="s">
        <v>266</v>
      </c>
      <c r="B12" s="3" t="s">
        <v>267</v>
      </c>
      <c r="C12" s="159" t="s">
        <v>320</v>
      </c>
      <c r="D12" s="19">
        <v>60</v>
      </c>
      <c r="E12" s="19">
        <v>250</v>
      </c>
      <c r="F12" s="3" t="s">
        <v>296</v>
      </c>
      <c r="G12" s="188" t="s">
        <v>408</v>
      </c>
      <c r="H12" s="164" t="s">
        <v>300</v>
      </c>
      <c r="I12" s="168"/>
      <c r="J12" s="46" t="s">
        <v>289</v>
      </c>
      <c r="K12" s="3"/>
      <c r="L12" s="223"/>
      <c r="M12" s="223"/>
      <c r="AD12" s="160">
        <f>SUM(AD5:AD11)</f>
        <v>11</v>
      </c>
      <c r="AE12" s="2"/>
      <c r="AF12" s="2"/>
      <c r="AG12" s="2"/>
      <c r="AH12" s="2"/>
      <c r="AI12" s="184"/>
      <c r="AJ12" s="184"/>
      <c r="AK12" s="2"/>
    </row>
    <row r="13" spans="1:14" ht="12.75">
      <c r="A13" s="3" t="s">
        <v>268</v>
      </c>
      <c r="B13" s="3" t="s">
        <v>269</v>
      </c>
      <c r="C13" s="159">
        <v>918000</v>
      </c>
      <c r="D13" s="19">
        <v>170</v>
      </c>
      <c r="E13" s="19">
        <v>250</v>
      </c>
      <c r="F13" s="3" t="s">
        <v>348</v>
      </c>
      <c r="G13" s="58" t="s">
        <v>301</v>
      </c>
      <c r="H13" s="164" t="s">
        <v>302</v>
      </c>
      <c r="I13" s="45" t="s">
        <v>342</v>
      </c>
      <c r="J13" s="192">
        <v>39127</v>
      </c>
      <c r="K13" s="222">
        <f>M13+90</f>
        <v>35162</v>
      </c>
      <c r="L13" s="227" t="s">
        <v>410</v>
      </c>
      <c r="M13" s="41">
        <v>35072</v>
      </c>
      <c r="N13" s="3" t="s">
        <v>409</v>
      </c>
    </row>
    <row r="14" spans="1:37" ht="12.75">
      <c r="A14" s="120" t="s">
        <v>270</v>
      </c>
      <c r="B14" s="3" t="s">
        <v>271</v>
      </c>
      <c r="C14" s="159">
        <f>612000+200000</f>
        <v>812000</v>
      </c>
      <c r="D14" s="19">
        <v>325</v>
      </c>
      <c r="E14" s="19">
        <v>250</v>
      </c>
      <c r="F14" s="3" t="s">
        <v>351</v>
      </c>
      <c r="G14" s="58" t="s">
        <v>301</v>
      </c>
      <c r="H14" s="164" t="s">
        <v>321</v>
      </c>
      <c r="I14" s="45" t="s">
        <v>344</v>
      </c>
      <c r="J14" s="192">
        <v>37670</v>
      </c>
      <c r="K14" s="222">
        <f>M14+180</f>
        <v>35581</v>
      </c>
      <c r="L14" s="227" t="s">
        <v>411</v>
      </c>
      <c r="M14" s="41">
        <v>35401</v>
      </c>
      <c r="N14" s="3" t="s">
        <v>412</v>
      </c>
      <c r="AD14" s="160"/>
      <c r="AE14" s="2"/>
      <c r="AF14" s="2" t="s">
        <v>366</v>
      </c>
      <c r="AI14" s="161"/>
      <c r="AJ14" s="184"/>
      <c r="AK14" s="73"/>
    </row>
    <row r="15" spans="1:37" ht="12.75">
      <c r="A15" s="3" t="s">
        <v>272</v>
      </c>
      <c r="B15" s="3" t="s">
        <v>273</v>
      </c>
      <c r="C15" s="159"/>
      <c r="D15" s="19">
        <v>4</v>
      </c>
      <c r="E15" s="19" t="s">
        <v>289</v>
      </c>
      <c r="F15" s="3" t="s">
        <v>17</v>
      </c>
      <c r="G15" s="188" t="s">
        <v>289</v>
      </c>
      <c r="H15" s="195" t="s">
        <v>322</v>
      </c>
      <c r="I15" s="168"/>
      <c r="J15" s="46"/>
      <c r="K15" s="3"/>
      <c r="L15" s="223"/>
      <c r="M15" s="223"/>
      <c r="AC15" s="13" t="s">
        <v>133</v>
      </c>
      <c r="AD15" s="202"/>
      <c r="AE15" s="16"/>
      <c r="AF15" s="16" t="s">
        <v>0</v>
      </c>
      <c r="AG15" s="14" t="s">
        <v>90</v>
      </c>
      <c r="AH15" s="14" t="s">
        <v>1</v>
      </c>
      <c r="AI15" s="14" t="s">
        <v>2</v>
      </c>
      <c r="AJ15" s="14" t="s">
        <v>101</v>
      </c>
      <c r="AK15" s="14" t="s">
        <v>102</v>
      </c>
    </row>
    <row r="16" spans="1:37" ht="12.75">
      <c r="A16" s="120" t="s">
        <v>274</v>
      </c>
      <c r="B16" s="3" t="s">
        <v>275</v>
      </c>
      <c r="C16" s="181">
        <f>230000*6</f>
        <v>1380000</v>
      </c>
      <c r="D16" s="19">
        <v>300</v>
      </c>
      <c r="E16" s="19">
        <v>200</v>
      </c>
      <c r="F16" s="3" t="s">
        <v>349</v>
      </c>
      <c r="G16" s="3" t="s">
        <v>318</v>
      </c>
      <c r="H16" s="164" t="s">
        <v>319</v>
      </c>
      <c r="I16" s="168" t="s">
        <v>426</v>
      </c>
      <c r="J16" s="46" t="s">
        <v>401</v>
      </c>
      <c r="K16" s="3"/>
      <c r="L16" s="223"/>
      <c r="M16" s="223"/>
      <c r="AC16" s="3" t="s">
        <v>5</v>
      </c>
      <c r="AD16" s="160">
        <v>2</v>
      </c>
      <c r="AE16" s="2"/>
      <c r="AF16" s="2">
        <v>5</v>
      </c>
      <c r="AG16" s="2">
        <v>2</v>
      </c>
      <c r="AH16" s="2">
        <v>2</v>
      </c>
      <c r="AI16" s="45" t="s">
        <v>367</v>
      </c>
      <c r="AJ16" s="184" t="s">
        <v>367</v>
      </c>
      <c r="AK16" s="2">
        <v>2</v>
      </c>
    </row>
    <row r="17" spans="1:37" ht="12.75">
      <c r="A17" s="3" t="s">
        <v>276</v>
      </c>
      <c r="B17" s="3" t="s">
        <v>277</v>
      </c>
      <c r="C17" s="159">
        <f>50000+70000</f>
        <v>120000</v>
      </c>
      <c r="D17" s="19">
        <v>15</v>
      </c>
      <c r="E17" s="19">
        <v>160</v>
      </c>
      <c r="F17" s="3" t="s">
        <v>324</v>
      </c>
      <c r="G17" s="188" t="s">
        <v>289</v>
      </c>
      <c r="H17" s="195" t="s">
        <v>323</v>
      </c>
      <c r="I17" s="168"/>
      <c r="J17" s="192"/>
      <c r="K17" s="3"/>
      <c r="L17" s="223"/>
      <c r="M17" s="223"/>
      <c r="AC17" s="3" t="s">
        <v>369</v>
      </c>
      <c r="AD17" s="160">
        <v>1</v>
      </c>
      <c r="AE17" s="2"/>
      <c r="AF17" s="2">
        <v>2</v>
      </c>
      <c r="AG17" s="2"/>
      <c r="AH17" s="2"/>
      <c r="AI17" s="45"/>
      <c r="AJ17" s="45"/>
      <c r="AK17" s="2"/>
    </row>
    <row r="18" spans="1:37" ht="12.75">
      <c r="A18" s="3" t="s">
        <v>278</v>
      </c>
      <c r="B18" s="3" t="s">
        <v>279</v>
      </c>
      <c r="C18" s="159">
        <v>354000</v>
      </c>
      <c r="D18" s="159">
        <f>54984000/10^6</f>
        <v>54.984</v>
      </c>
      <c r="E18" s="19" t="s">
        <v>324</v>
      </c>
      <c r="F18" s="3" t="s">
        <v>324</v>
      </c>
      <c r="G18" s="188" t="s">
        <v>289</v>
      </c>
      <c r="H18" s="195" t="s">
        <v>325</v>
      </c>
      <c r="I18" s="168"/>
      <c r="J18" s="228"/>
      <c r="L18" s="223"/>
      <c r="M18" s="223"/>
      <c r="N18" s="3" t="s">
        <v>326</v>
      </c>
      <c r="AC18" s="3" t="s">
        <v>6</v>
      </c>
      <c r="AD18" s="160">
        <v>1</v>
      </c>
      <c r="AE18" s="2"/>
      <c r="AF18" s="2"/>
      <c r="AG18" s="2"/>
      <c r="AH18" s="2"/>
      <c r="AI18" s="45"/>
      <c r="AJ18" s="45"/>
      <c r="AK18" s="2"/>
    </row>
    <row r="19" spans="1:37" ht="12.75">
      <c r="A19" s="3" t="s">
        <v>281</v>
      </c>
      <c r="B19" s="3" t="s">
        <v>280</v>
      </c>
      <c r="D19" s="183">
        <v>47.9</v>
      </c>
      <c r="E19" s="19">
        <v>250</v>
      </c>
      <c r="F19" s="3" t="s">
        <v>292</v>
      </c>
      <c r="G19" s="3" t="s">
        <v>355</v>
      </c>
      <c r="H19" s="164" t="s">
        <v>354</v>
      </c>
      <c r="I19" s="168" t="s">
        <v>343</v>
      </c>
      <c r="J19" s="192">
        <v>38479</v>
      </c>
      <c r="K19" s="222">
        <f>M19+90</f>
        <v>35235</v>
      </c>
      <c r="L19" s="226" t="s">
        <v>413</v>
      </c>
      <c r="M19" s="41">
        <v>35145</v>
      </c>
      <c r="N19" s="3" t="s">
        <v>414</v>
      </c>
      <c r="AC19" s="3" t="s">
        <v>296</v>
      </c>
      <c r="AD19" s="160">
        <v>3</v>
      </c>
      <c r="AE19" s="2"/>
      <c r="AF19" s="2">
        <v>10</v>
      </c>
      <c r="AG19" s="2">
        <v>7</v>
      </c>
      <c r="AH19" s="2">
        <v>7</v>
      </c>
      <c r="AI19" s="45" t="s">
        <v>370</v>
      </c>
      <c r="AJ19" s="45" t="s">
        <v>370</v>
      </c>
      <c r="AK19" s="2">
        <v>6</v>
      </c>
    </row>
    <row r="20" spans="1:37" ht="12.75">
      <c r="A20" s="3" t="s">
        <v>282</v>
      </c>
      <c r="B20" s="3" t="s">
        <v>283</v>
      </c>
      <c r="D20" s="182">
        <v>47.15</v>
      </c>
      <c r="E20" s="19">
        <v>250</v>
      </c>
      <c r="F20" s="3" t="s">
        <v>292</v>
      </c>
      <c r="G20" s="3" t="s">
        <v>355</v>
      </c>
      <c r="H20" s="164" t="s">
        <v>419</v>
      </c>
      <c r="I20" s="168" t="s">
        <v>418</v>
      </c>
      <c r="J20" s="192">
        <v>39205</v>
      </c>
      <c r="K20" s="222">
        <f>M20+180</f>
        <v>35896</v>
      </c>
      <c r="L20" s="226" t="s">
        <v>416</v>
      </c>
      <c r="M20" s="41">
        <v>35716</v>
      </c>
      <c r="N20" s="3" t="s">
        <v>417</v>
      </c>
      <c r="AC20" s="3" t="s">
        <v>361</v>
      </c>
      <c r="AD20" s="160">
        <v>1</v>
      </c>
      <c r="AE20" s="2"/>
      <c r="AF20" s="2">
        <v>3</v>
      </c>
      <c r="AG20" s="2"/>
      <c r="AH20" s="2"/>
      <c r="AI20" s="45"/>
      <c r="AJ20" s="45"/>
      <c r="AK20" s="2"/>
    </row>
    <row r="21" spans="1:37" ht="12.75">
      <c r="A21" s="120" t="s">
        <v>284</v>
      </c>
      <c r="B21" s="3" t="s">
        <v>285</v>
      </c>
      <c r="C21" s="159">
        <f>180000*3</f>
        <v>540000</v>
      </c>
      <c r="D21" s="19">
        <v>144</v>
      </c>
      <c r="E21" s="19">
        <v>250</v>
      </c>
      <c r="F21" s="3" t="s">
        <v>350</v>
      </c>
      <c r="G21" s="189" t="s">
        <v>289</v>
      </c>
      <c r="H21" s="195" t="s">
        <v>327</v>
      </c>
      <c r="I21" s="168"/>
      <c r="J21" s="192"/>
      <c r="K21" s="3"/>
      <c r="L21" s="223"/>
      <c r="M21" s="223"/>
      <c r="AC21" s="3" t="s">
        <v>14</v>
      </c>
      <c r="AD21" s="160">
        <v>2</v>
      </c>
      <c r="AE21" s="2"/>
      <c r="AF21" s="2">
        <v>22</v>
      </c>
      <c r="AG21" s="2">
        <v>16</v>
      </c>
      <c r="AH21" s="2">
        <v>16</v>
      </c>
      <c r="AI21" s="45" t="s">
        <v>371</v>
      </c>
      <c r="AJ21" s="45" t="s">
        <v>371</v>
      </c>
      <c r="AK21" s="2">
        <v>5</v>
      </c>
    </row>
    <row r="22" spans="1:37" ht="12.75">
      <c r="A22" s="3"/>
      <c r="B22" s="3"/>
      <c r="C22" s="159"/>
      <c r="D22" s="19"/>
      <c r="E22" s="19"/>
      <c r="F22" s="3"/>
      <c r="G22" s="3"/>
      <c r="K22" s="3"/>
      <c r="AC22" s="3" t="s">
        <v>139</v>
      </c>
      <c r="AD22" s="202">
        <v>1</v>
      </c>
      <c r="AE22" s="2"/>
      <c r="AF22" s="2">
        <v>5</v>
      </c>
      <c r="AG22" s="2">
        <v>4</v>
      </c>
      <c r="AH22" s="2">
        <v>4</v>
      </c>
      <c r="AI22" s="45"/>
      <c r="AJ22" s="45"/>
      <c r="AK22" s="2"/>
    </row>
    <row r="23" spans="1:37" ht="12.75">
      <c r="A23" s="3"/>
      <c r="B23" s="3"/>
      <c r="C23" s="159"/>
      <c r="D23" s="19"/>
      <c r="E23" s="19"/>
      <c r="F23" s="3"/>
      <c r="G23" s="3"/>
      <c r="H23" s="164"/>
      <c r="I23" s="45"/>
      <c r="J23" s="46"/>
      <c r="K23" s="3"/>
      <c r="AD23" s="160">
        <f>SUM(AD16:AD22)</f>
        <v>11</v>
      </c>
      <c r="AE23" s="2"/>
      <c r="AF23" s="2"/>
      <c r="AG23" s="2"/>
      <c r="AH23" s="2"/>
      <c r="AI23" s="184"/>
      <c r="AJ23" s="184"/>
      <c r="AK23" s="2"/>
    </row>
    <row r="24" spans="1:11" ht="12.75">
      <c r="A24" s="3"/>
      <c r="B24" s="3"/>
      <c r="C24" s="159"/>
      <c r="D24" s="19"/>
      <c r="E24" s="19"/>
      <c r="F24" s="3"/>
      <c r="G24" s="3"/>
      <c r="H24" s="164"/>
      <c r="I24" s="45"/>
      <c r="J24" s="46"/>
      <c r="K24" s="3"/>
    </row>
    <row r="25" spans="1:11" ht="12.75">
      <c r="A25" s="3"/>
      <c r="B25" s="3"/>
      <c r="C25" s="159"/>
      <c r="D25" s="19"/>
      <c r="E25" s="19"/>
      <c r="F25" s="3"/>
      <c r="G25" s="3"/>
      <c r="H25" s="164"/>
      <c r="I25" s="45"/>
      <c r="J25" s="46"/>
      <c r="K25" s="3"/>
    </row>
    <row r="26" spans="1:11" ht="12.75">
      <c r="A26" s="3"/>
      <c r="B26" s="3"/>
      <c r="C26" s="159"/>
      <c r="D26" s="19" t="s">
        <v>381</v>
      </c>
      <c r="E26" s="19"/>
      <c r="F26" s="3"/>
      <c r="G26" s="3"/>
      <c r="H26" s="164"/>
      <c r="I26" s="45"/>
      <c r="J26" s="46"/>
      <c r="K26" s="3"/>
    </row>
    <row r="27" spans="1:11" ht="12.75">
      <c r="A27" s="13" t="s">
        <v>9</v>
      </c>
      <c r="B27" s="13" t="s">
        <v>133</v>
      </c>
      <c r="C27" s="198" t="s">
        <v>357</v>
      </c>
      <c r="D27" s="16" t="s">
        <v>380</v>
      </c>
      <c r="E27" s="16" t="s">
        <v>60</v>
      </c>
      <c r="F27" s="201" t="s">
        <v>3</v>
      </c>
      <c r="G27" s="3"/>
      <c r="H27" s="164"/>
      <c r="I27" s="45"/>
      <c r="J27" s="46"/>
      <c r="K27" s="3"/>
    </row>
    <row r="28" spans="1:11" ht="12.75" hidden="1">
      <c r="A28" s="3" t="s">
        <v>251</v>
      </c>
      <c r="B28" s="120" t="s">
        <v>289</v>
      </c>
      <c r="C28" s="181" t="s">
        <v>289</v>
      </c>
      <c r="F28" s="200" t="s">
        <v>356</v>
      </c>
      <c r="G28" s="3"/>
      <c r="H28" s="164"/>
      <c r="I28" s="45"/>
      <c r="J28" s="46"/>
      <c r="K28" s="3"/>
    </row>
    <row r="29" spans="1:7" ht="12.75">
      <c r="A29" s="3" t="s">
        <v>255</v>
      </c>
      <c r="B29" s="3" t="s">
        <v>5</v>
      </c>
      <c r="C29" s="159">
        <v>1</v>
      </c>
      <c r="D29" s="2">
        <v>140</v>
      </c>
      <c r="E29" s="221" t="s">
        <v>382</v>
      </c>
      <c r="F29" s="46"/>
      <c r="G29" s="3"/>
    </row>
    <row r="30" spans="1:7" ht="12.75">
      <c r="A30" s="3" t="s">
        <v>256</v>
      </c>
      <c r="B30" s="3" t="s">
        <v>296</v>
      </c>
      <c r="C30" s="159">
        <v>1</v>
      </c>
      <c r="D30" s="2">
        <v>180</v>
      </c>
      <c r="F30" s="46"/>
      <c r="G30" s="3"/>
    </row>
    <row r="31" spans="1:8" ht="12.75">
      <c r="A31" s="3" t="s">
        <v>257</v>
      </c>
      <c r="B31" s="3" t="s">
        <v>361</v>
      </c>
      <c r="C31" s="159">
        <v>1</v>
      </c>
      <c r="D31" s="2" t="s">
        <v>379</v>
      </c>
      <c r="F31" s="46" t="s">
        <v>387</v>
      </c>
      <c r="G31" s="3"/>
      <c r="H31" s="222"/>
    </row>
    <row r="32" spans="1:8" ht="12.75" hidden="1">
      <c r="A32" s="3" t="s">
        <v>264</v>
      </c>
      <c r="B32" s="120" t="s">
        <v>289</v>
      </c>
      <c r="C32" s="181" t="s">
        <v>289</v>
      </c>
      <c r="F32" s="199" t="s">
        <v>363</v>
      </c>
      <c r="G32" s="3"/>
      <c r="H32" s="222"/>
    </row>
    <row r="33" spans="1:7" ht="12.75" hidden="1">
      <c r="A33" s="3" t="s">
        <v>266</v>
      </c>
      <c r="B33" s="120" t="s">
        <v>289</v>
      </c>
      <c r="C33" s="181" t="s">
        <v>289</v>
      </c>
      <c r="F33" s="199" t="s">
        <v>362</v>
      </c>
      <c r="G33" s="3"/>
    </row>
    <row r="34" spans="1:7" ht="12.75">
      <c r="A34" s="3" t="s">
        <v>268</v>
      </c>
      <c r="B34" s="3" t="s">
        <v>296</v>
      </c>
      <c r="C34" s="159">
        <v>1</v>
      </c>
      <c r="D34" s="2">
        <v>32</v>
      </c>
      <c r="F34" s="46"/>
      <c r="G34" s="3"/>
    </row>
    <row r="35" spans="1:7" ht="12.75">
      <c r="A35" s="3" t="s">
        <v>270</v>
      </c>
      <c r="B35" s="3" t="s">
        <v>14</v>
      </c>
      <c r="C35" s="159">
        <v>1</v>
      </c>
      <c r="D35" s="2">
        <v>45</v>
      </c>
      <c r="F35" s="46"/>
      <c r="G35" s="3"/>
    </row>
    <row r="36" spans="1:7" ht="12.75" hidden="1">
      <c r="A36" s="3" t="s">
        <v>272</v>
      </c>
      <c r="B36" s="120" t="s">
        <v>289</v>
      </c>
      <c r="C36" s="181" t="s">
        <v>289</v>
      </c>
      <c r="F36" s="200" t="s">
        <v>356</v>
      </c>
      <c r="G36" s="3"/>
    </row>
    <row r="37" spans="1:7" ht="12.75">
      <c r="A37" s="3" t="s">
        <v>274</v>
      </c>
      <c r="B37" s="169" t="s">
        <v>378</v>
      </c>
      <c r="C37" s="159">
        <v>1</v>
      </c>
      <c r="D37" s="2">
        <v>33</v>
      </c>
      <c r="E37" s="2" t="s">
        <v>384</v>
      </c>
      <c r="F37" s="46"/>
      <c r="G37" s="3"/>
    </row>
    <row r="38" spans="1:7" ht="12.75">
      <c r="A38" s="3" t="s">
        <v>274</v>
      </c>
      <c r="B38" s="169" t="s">
        <v>14</v>
      </c>
      <c r="C38" s="159">
        <v>1</v>
      </c>
      <c r="D38" s="5" t="s">
        <v>386</v>
      </c>
      <c r="F38" s="46"/>
      <c r="G38" s="3"/>
    </row>
    <row r="39" spans="1:7" ht="12.75" customHeight="1" hidden="1">
      <c r="A39" s="3" t="s">
        <v>276</v>
      </c>
      <c r="B39" s="120" t="s">
        <v>289</v>
      </c>
      <c r="C39" s="181" t="s">
        <v>289</v>
      </c>
      <c r="F39" s="200" t="s">
        <v>356</v>
      </c>
      <c r="G39" s="3"/>
    </row>
    <row r="40" spans="1:6" ht="12.75" customHeight="1" hidden="1">
      <c r="A40" s="3" t="s">
        <v>278</v>
      </c>
      <c r="B40" s="120" t="s">
        <v>289</v>
      </c>
      <c r="C40" s="181" t="s">
        <v>289</v>
      </c>
      <c r="F40" s="200" t="s">
        <v>363</v>
      </c>
    </row>
    <row r="41" spans="1:6" ht="12.75">
      <c r="A41" s="3" t="s">
        <v>281</v>
      </c>
      <c r="B41" s="169" t="s">
        <v>6</v>
      </c>
      <c r="C41" s="159">
        <v>1</v>
      </c>
      <c r="D41" s="2">
        <v>165</v>
      </c>
      <c r="F41" s="46"/>
    </row>
    <row r="42" spans="1:6" ht="12.75">
      <c r="A42" s="3" t="s">
        <v>281</v>
      </c>
      <c r="B42" s="169" t="s">
        <v>385</v>
      </c>
      <c r="C42" s="159">
        <v>1</v>
      </c>
      <c r="D42" s="2">
        <v>140</v>
      </c>
      <c r="F42" s="46"/>
    </row>
    <row r="43" spans="1:6" ht="12.75">
      <c r="A43" s="3" t="s">
        <v>282</v>
      </c>
      <c r="B43" s="169" t="s">
        <v>5</v>
      </c>
      <c r="C43" s="160">
        <v>1</v>
      </c>
      <c r="D43" s="2">
        <v>140</v>
      </c>
      <c r="F43" s="73"/>
    </row>
    <row r="44" spans="1:6" ht="12.75">
      <c r="A44" s="3" t="s">
        <v>284</v>
      </c>
      <c r="B44" s="169" t="s">
        <v>383</v>
      </c>
      <c r="C44" s="202">
        <v>1</v>
      </c>
      <c r="D44" s="16">
        <v>56</v>
      </c>
      <c r="E44" s="16"/>
      <c r="F44" s="46" t="s">
        <v>364</v>
      </c>
    </row>
    <row r="45" ht="12.75">
      <c r="C45" s="160">
        <f>SUM(C28:C44)</f>
        <v>11</v>
      </c>
    </row>
    <row r="46" spans="2:9" ht="12.75">
      <c r="B46" s="160"/>
      <c r="C46" s="2"/>
      <c r="D46" s="2" t="s">
        <v>366</v>
      </c>
      <c r="E46"/>
      <c r="G46" s="161"/>
      <c r="H46" s="184"/>
      <c r="I46" s="73"/>
    </row>
    <row r="47" spans="1:9" ht="12.75">
      <c r="A47" s="13" t="s">
        <v>133</v>
      </c>
      <c r="B47" s="202"/>
      <c r="C47" s="16"/>
      <c r="D47" s="16" t="s">
        <v>0</v>
      </c>
      <c r="E47" s="14" t="s">
        <v>90</v>
      </c>
      <c r="F47" s="14" t="s">
        <v>1</v>
      </c>
      <c r="G47" s="14" t="s">
        <v>2</v>
      </c>
      <c r="H47" s="14" t="s">
        <v>101</v>
      </c>
      <c r="I47" s="14" t="s">
        <v>102</v>
      </c>
    </row>
    <row r="48" spans="1:9" ht="12.75">
      <c r="A48" s="3" t="s">
        <v>5</v>
      </c>
      <c r="B48" s="160">
        <v>2</v>
      </c>
      <c r="C48" s="2"/>
      <c r="D48" s="2">
        <v>5</v>
      </c>
      <c r="E48" s="2">
        <v>2</v>
      </c>
      <c r="F48" s="2">
        <v>2</v>
      </c>
      <c r="G48" s="45" t="s">
        <v>367</v>
      </c>
      <c r="H48" s="184" t="s">
        <v>367</v>
      </c>
      <c r="I48" s="2">
        <v>2</v>
      </c>
    </row>
    <row r="49" spans="1:9" ht="12.75">
      <c r="A49" s="3" t="s">
        <v>369</v>
      </c>
      <c r="B49" s="160">
        <v>1</v>
      </c>
      <c r="C49" s="2"/>
      <c r="D49" s="2">
        <v>2</v>
      </c>
      <c r="E49" s="2">
        <v>0</v>
      </c>
      <c r="F49" s="2">
        <v>0</v>
      </c>
      <c r="G49" s="45" t="s">
        <v>368</v>
      </c>
      <c r="H49" s="45" t="s">
        <v>368</v>
      </c>
      <c r="I49" s="2">
        <v>0</v>
      </c>
    </row>
    <row r="50" spans="1:9" ht="12.75">
      <c r="A50" s="3" t="s">
        <v>6</v>
      </c>
      <c r="B50" s="160">
        <v>1</v>
      </c>
      <c r="C50" s="2"/>
      <c r="D50" s="2">
        <v>0</v>
      </c>
      <c r="E50" s="2">
        <v>0</v>
      </c>
      <c r="F50" s="2">
        <v>0</v>
      </c>
      <c r="G50" s="45" t="s">
        <v>368</v>
      </c>
      <c r="H50" s="45" t="s">
        <v>368</v>
      </c>
      <c r="I50" s="2">
        <v>0</v>
      </c>
    </row>
    <row r="51" spans="1:9" ht="12.75">
      <c r="A51" s="3" t="s">
        <v>296</v>
      </c>
      <c r="B51" s="160">
        <v>3</v>
      </c>
      <c r="C51" s="2"/>
      <c r="D51" s="2">
        <v>10</v>
      </c>
      <c r="E51" s="2">
        <v>7</v>
      </c>
      <c r="F51" s="2">
        <v>7</v>
      </c>
      <c r="G51" s="45" t="s">
        <v>370</v>
      </c>
      <c r="H51" s="45" t="s">
        <v>370</v>
      </c>
      <c r="I51" s="2">
        <v>6</v>
      </c>
    </row>
    <row r="52" spans="1:9" ht="12.75">
      <c r="A52" s="3" t="s">
        <v>361</v>
      </c>
      <c r="B52" s="160">
        <v>1</v>
      </c>
      <c r="C52" s="2"/>
      <c r="D52" s="2">
        <v>3</v>
      </c>
      <c r="E52" s="2">
        <v>0</v>
      </c>
      <c r="F52" s="2">
        <v>0</v>
      </c>
      <c r="G52" s="45" t="s">
        <v>368</v>
      </c>
      <c r="H52" s="45" t="s">
        <v>368</v>
      </c>
      <c r="I52" s="2">
        <v>0</v>
      </c>
    </row>
    <row r="53" spans="1:9" ht="12.75">
      <c r="A53" s="3" t="s">
        <v>14</v>
      </c>
      <c r="B53" s="160">
        <v>2</v>
      </c>
      <c r="C53" s="2"/>
      <c r="D53" s="2">
        <v>22</v>
      </c>
      <c r="E53" s="2">
        <v>16</v>
      </c>
      <c r="F53" s="2">
        <v>16</v>
      </c>
      <c r="G53" s="45" t="s">
        <v>371</v>
      </c>
      <c r="H53" s="45" t="s">
        <v>371</v>
      </c>
      <c r="I53" s="2">
        <v>5</v>
      </c>
    </row>
    <row r="54" spans="1:9" ht="12.75">
      <c r="A54" s="3" t="s">
        <v>139</v>
      </c>
      <c r="B54" s="202">
        <v>1</v>
      </c>
      <c r="C54" s="2"/>
      <c r="D54" s="2">
        <v>5</v>
      </c>
      <c r="E54" s="2">
        <v>4</v>
      </c>
      <c r="F54" s="2">
        <v>4</v>
      </c>
      <c r="G54" s="45" t="s">
        <v>368</v>
      </c>
      <c r="H54" s="45" t="s">
        <v>368</v>
      </c>
      <c r="I54" s="2">
        <v>0</v>
      </c>
    </row>
    <row r="55" spans="2:9" ht="12.75">
      <c r="B55" s="160">
        <f>SUM(B48:B54)</f>
        <v>11</v>
      </c>
      <c r="C55" s="2"/>
      <c r="F55" s="2"/>
      <c r="G55" s="184"/>
      <c r="H55" s="184"/>
      <c r="I55" s="2"/>
    </row>
    <row r="56" spans="2:9" ht="12.75">
      <c r="B56" s="160"/>
      <c r="C56" s="2"/>
      <c r="E56"/>
      <c r="G56" s="161"/>
      <c r="H56" s="184"/>
      <c r="I56" s="73"/>
    </row>
  </sheetData>
  <sheetProtection/>
  <mergeCells count="1">
    <mergeCell ref="L4:M5"/>
  </mergeCells>
  <printOptions/>
  <pageMargins left="0.7" right="0.7" top="0.75" bottom="0.75" header="0.3" footer="0.3"/>
  <pageSetup fitToHeight="1" fitToWidth="1" horizontalDpi="600" verticalDpi="600" orientation="landscape" r:id="rId3"/>
  <legacyDrawing r:id="rId2"/>
</worksheet>
</file>

<file path=xl/worksheets/sheet11.xml><?xml version="1.0" encoding="utf-8"?>
<worksheet xmlns="http://schemas.openxmlformats.org/spreadsheetml/2006/main" xmlns:r="http://schemas.openxmlformats.org/officeDocument/2006/relationships">
  <dimension ref="A2:B31"/>
  <sheetViews>
    <sheetView zoomScalePageLayoutView="0" workbookViewId="0" topLeftCell="A1">
      <selection activeCell="A32" sqref="A32"/>
    </sheetView>
  </sheetViews>
  <sheetFormatPr defaultColWidth="9.140625" defaultRowHeight="12.75"/>
  <sheetData>
    <row r="2" ht="12.75">
      <c r="A2" s="108" t="s">
        <v>307</v>
      </c>
    </row>
    <row r="4" ht="12.75">
      <c r="A4" s="3" t="s">
        <v>309</v>
      </c>
    </row>
    <row r="5" ht="12.75">
      <c r="A5" s="3" t="s">
        <v>308</v>
      </c>
    </row>
    <row r="7" ht="12.75">
      <c r="A7" s="3" t="s">
        <v>310</v>
      </c>
    </row>
    <row r="9" ht="12.75">
      <c r="A9" s="108" t="s">
        <v>337</v>
      </c>
    </row>
    <row r="10" ht="12.75">
      <c r="A10" s="3" t="s">
        <v>338</v>
      </c>
    </row>
    <row r="11" ht="12.75">
      <c r="B11" s="3" t="s">
        <v>339</v>
      </c>
    </row>
    <row r="14" ht="12.75">
      <c r="A14" s="108" t="s">
        <v>471</v>
      </c>
    </row>
    <row r="15" ht="12.75">
      <c r="A15" t="s">
        <v>470</v>
      </c>
    </row>
    <row r="16" ht="12.75">
      <c r="A16" t="s">
        <v>473</v>
      </c>
    </row>
    <row r="17" ht="12.75">
      <c r="A17" s="3" t="s">
        <v>482</v>
      </c>
    </row>
    <row r="18" ht="12.75">
      <c r="A18" s="3" t="s">
        <v>481</v>
      </c>
    </row>
    <row r="20" ht="12.75">
      <c r="A20" s="108" t="s">
        <v>490</v>
      </c>
    </row>
    <row r="21" ht="12.75">
      <c r="A21" t="s">
        <v>491</v>
      </c>
    </row>
    <row r="23" ht="12.75">
      <c r="A23" s="108" t="s">
        <v>504</v>
      </c>
    </row>
    <row r="24" ht="12.75">
      <c r="A24" s="3" t="s">
        <v>508</v>
      </c>
    </row>
    <row r="25" ht="12.75">
      <c r="A25" s="279" t="s">
        <v>511</v>
      </c>
    </row>
    <row r="26" ht="12.75">
      <c r="A26" s="279" t="s">
        <v>510</v>
      </c>
    </row>
    <row r="27" ht="12.75">
      <c r="A27" s="279" t="s">
        <v>509</v>
      </c>
    </row>
    <row r="30" ht="12.75">
      <c r="A30" s="3" t="s">
        <v>519</v>
      </c>
    </row>
    <row r="31" ht="12.75">
      <c r="A31" s="3" t="s">
        <v>520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3:N23"/>
  <sheetViews>
    <sheetView zoomScalePageLayoutView="0" workbookViewId="0" topLeftCell="A1">
      <selection activeCell="D28" sqref="D28"/>
    </sheetView>
  </sheetViews>
  <sheetFormatPr defaultColWidth="9.140625" defaultRowHeight="12.75"/>
  <cols>
    <col min="1" max="1" width="22.00390625" style="204" customWidth="1"/>
    <col min="2" max="4" width="9.140625" style="204" customWidth="1"/>
    <col min="5" max="5" width="14.140625" style="204" customWidth="1"/>
    <col min="6" max="6" width="8.8515625" style="204" customWidth="1"/>
    <col min="7" max="7" width="20.28125" style="204" customWidth="1"/>
    <col min="8" max="8" width="9.57421875" style="204" customWidth="1"/>
    <col min="9" max="9" width="20.140625" style="204" customWidth="1"/>
    <col min="10" max="10" width="7.57421875" style="204" customWidth="1"/>
    <col min="11" max="11" width="23.28125" style="204" customWidth="1"/>
    <col min="12" max="12" width="8.7109375" style="204" customWidth="1"/>
    <col min="13" max="13" width="12.28125" style="204" customWidth="1"/>
    <col min="14" max="16384" width="9.140625" style="204" customWidth="1"/>
  </cols>
  <sheetData>
    <row r="1" ht="18"/>
    <row r="2" ht="18"/>
    <row r="3" spans="2:13" ht="18">
      <c r="B3" s="205"/>
      <c r="C3" s="206" t="s">
        <v>366</v>
      </c>
      <c r="D3" s="206"/>
      <c r="I3" s="207"/>
      <c r="J3" s="207"/>
      <c r="K3" s="208"/>
      <c r="L3" s="208"/>
      <c r="M3" s="209"/>
    </row>
    <row r="4" spans="1:13" ht="18">
      <c r="A4" s="210" t="s">
        <v>133</v>
      </c>
      <c r="B4" s="211"/>
      <c r="C4" s="212" t="s">
        <v>0</v>
      </c>
      <c r="D4" s="212"/>
      <c r="E4" s="212" t="s">
        <v>90</v>
      </c>
      <c r="F4" s="212"/>
      <c r="G4" s="212" t="s">
        <v>1</v>
      </c>
      <c r="H4" s="212"/>
      <c r="I4" s="212" t="s">
        <v>2</v>
      </c>
      <c r="J4" s="212"/>
      <c r="K4" s="212" t="s">
        <v>101</v>
      </c>
      <c r="L4" s="212"/>
      <c r="M4" s="212" t="s">
        <v>102</v>
      </c>
    </row>
    <row r="5" spans="1:13" ht="18">
      <c r="A5" s="204" t="s">
        <v>5</v>
      </c>
      <c r="B5" s="205">
        <v>2</v>
      </c>
      <c r="C5" s="206">
        <v>5</v>
      </c>
      <c r="D5" s="206"/>
      <c r="E5" s="206">
        <v>2</v>
      </c>
      <c r="F5" s="206"/>
      <c r="G5" s="206">
        <v>2</v>
      </c>
      <c r="H5" s="206"/>
      <c r="I5" s="208" t="s">
        <v>367</v>
      </c>
      <c r="J5" s="208"/>
      <c r="K5" s="208" t="s">
        <v>367</v>
      </c>
      <c r="L5" s="208"/>
      <c r="M5" s="206">
        <v>2</v>
      </c>
    </row>
    <row r="6" spans="1:13" ht="18">
      <c r="A6" s="204" t="s">
        <v>369</v>
      </c>
      <c r="B6" s="205">
        <v>1</v>
      </c>
      <c r="C6" s="206">
        <v>2</v>
      </c>
      <c r="D6" s="206"/>
      <c r="E6" s="206">
        <v>0</v>
      </c>
      <c r="F6" s="206"/>
      <c r="G6" s="206">
        <v>0</v>
      </c>
      <c r="H6" s="206"/>
      <c r="I6" s="208" t="s">
        <v>368</v>
      </c>
      <c r="J6" s="208"/>
      <c r="K6" s="208" t="s">
        <v>368</v>
      </c>
      <c r="L6" s="208"/>
      <c r="M6" s="206">
        <v>0</v>
      </c>
    </row>
    <row r="7" spans="1:13" ht="18">
      <c r="A7" s="204" t="s">
        <v>6</v>
      </c>
      <c r="B7" s="205">
        <v>1</v>
      </c>
      <c r="C7" s="206">
        <v>0</v>
      </c>
      <c r="D7" s="206"/>
      <c r="E7" s="206">
        <v>0</v>
      </c>
      <c r="F7" s="206"/>
      <c r="G7" s="206">
        <v>0</v>
      </c>
      <c r="H7" s="206"/>
      <c r="I7" s="208" t="s">
        <v>368</v>
      </c>
      <c r="J7" s="208"/>
      <c r="K7" s="208" t="s">
        <v>368</v>
      </c>
      <c r="L7" s="208"/>
      <c r="M7" s="206">
        <v>0</v>
      </c>
    </row>
    <row r="8" spans="1:13" ht="18">
      <c r="A8" s="204" t="s">
        <v>296</v>
      </c>
      <c r="B8" s="205">
        <v>3</v>
      </c>
      <c r="C8" s="206">
        <v>10</v>
      </c>
      <c r="D8" s="206"/>
      <c r="E8" s="206">
        <v>7</v>
      </c>
      <c r="F8" s="206"/>
      <c r="G8" s="206">
        <v>7</v>
      </c>
      <c r="H8" s="206"/>
      <c r="I8" s="208" t="s">
        <v>370</v>
      </c>
      <c r="J8" s="208"/>
      <c r="K8" s="208" t="s">
        <v>370</v>
      </c>
      <c r="L8" s="208"/>
      <c r="M8" s="206">
        <v>6</v>
      </c>
    </row>
    <row r="9" spans="1:13" ht="18">
      <c r="A9" s="204" t="s">
        <v>361</v>
      </c>
      <c r="B9" s="205">
        <v>1</v>
      </c>
      <c r="C9" s="206">
        <v>3</v>
      </c>
      <c r="D9" s="206"/>
      <c r="E9" s="206">
        <v>0</v>
      </c>
      <c r="F9" s="206"/>
      <c r="G9" s="206">
        <v>0</v>
      </c>
      <c r="H9" s="206"/>
      <c r="I9" s="208" t="s">
        <v>368</v>
      </c>
      <c r="J9" s="208"/>
      <c r="K9" s="208" t="s">
        <v>368</v>
      </c>
      <c r="L9" s="208"/>
      <c r="M9" s="206">
        <v>0</v>
      </c>
    </row>
    <row r="10" spans="1:13" ht="18">
      <c r="A10" s="204" t="s">
        <v>14</v>
      </c>
      <c r="B10" s="205">
        <v>2</v>
      </c>
      <c r="C10" s="206">
        <v>22</v>
      </c>
      <c r="D10" s="206"/>
      <c r="E10" s="206">
        <v>16</v>
      </c>
      <c r="F10" s="206"/>
      <c r="G10" s="206">
        <v>16</v>
      </c>
      <c r="H10" s="206"/>
      <c r="I10" s="208" t="s">
        <v>371</v>
      </c>
      <c r="J10" s="208"/>
      <c r="K10" s="208" t="s">
        <v>371</v>
      </c>
      <c r="L10" s="208"/>
      <c r="M10" s="206">
        <v>5</v>
      </c>
    </row>
    <row r="11" spans="1:13" ht="18">
      <c r="A11" s="204" t="s">
        <v>139</v>
      </c>
      <c r="B11" s="211">
        <v>1</v>
      </c>
      <c r="C11" s="206">
        <v>5</v>
      </c>
      <c r="D11" s="206"/>
      <c r="E11" s="206">
        <v>4</v>
      </c>
      <c r="F11" s="206"/>
      <c r="G11" s="206">
        <v>4</v>
      </c>
      <c r="H11" s="206"/>
      <c r="I11" s="208" t="s">
        <v>368</v>
      </c>
      <c r="J11" s="208"/>
      <c r="K11" s="208" t="s">
        <v>368</v>
      </c>
      <c r="L11" s="208"/>
      <c r="M11" s="206">
        <v>0</v>
      </c>
    </row>
    <row r="12" spans="2:13" ht="18">
      <c r="B12" s="205">
        <f>SUM(B5:B11)</f>
        <v>11</v>
      </c>
      <c r="C12" s="206"/>
      <c r="D12" s="206"/>
      <c r="E12" s="206"/>
      <c r="F12" s="206"/>
      <c r="G12" s="206"/>
      <c r="H12" s="206"/>
      <c r="I12" s="208"/>
      <c r="J12" s="208"/>
      <c r="K12" s="208"/>
      <c r="L12" s="208"/>
      <c r="M12" s="206"/>
    </row>
    <row r="13" ht="18"/>
    <row r="14" spans="2:13" ht="17.25">
      <c r="B14" s="205"/>
      <c r="C14" s="206" t="s">
        <v>366</v>
      </c>
      <c r="D14" s="206"/>
      <c r="I14" s="207"/>
      <c r="J14" s="207"/>
      <c r="K14" s="208"/>
      <c r="L14" s="208"/>
      <c r="M14" s="209"/>
    </row>
    <row r="15" spans="1:14" ht="19.5">
      <c r="A15" s="210" t="s">
        <v>133</v>
      </c>
      <c r="B15" s="211"/>
      <c r="C15" s="212" t="s">
        <v>0</v>
      </c>
      <c r="D15" s="212" t="s">
        <v>372</v>
      </c>
      <c r="E15" s="214" t="s">
        <v>90</v>
      </c>
      <c r="F15" s="217"/>
      <c r="G15" s="212" t="s">
        <v>1</v>
      </c>
      <c r="H15" s="212"/>
      <c r="I15" s="214" t="s">
        <v>2</v>
      </c>
      <c r="J15" s="217" t="s">
        <v>373</v>
      </c>
      <c r="K15" s="212" t="s">
        <v>101</v>
      </c>
      <c r="L15" s="212" t="s">
        <v>373</v>
      </c>
      <c r="M15" s="214" t="s">
        <v>102</v>
      </c>
      <c r="N15" s="210" t="s">
        <v>373</v>
      </c>
    </row>
    <row r="16" spans="1:13" ht="17.25">
      <c r="A16" s="204" t="s">
        <v>5</v>
      </c>
      <c r="B16" s="205">
        <v>2</v>
      </c>
      <c r="C16" s="220">
        <v>5</v>
      </c>
      <c r="D16" s="206">
        <v>0.51</v>
      </c>
      <c r="E16" s="215">
        <v>2</v>
      </c>
      <c r="F16" s="219"/>
      <c r="G16" s="206">
        <v>2</v>
      </c>
      <c r="H16" s="206"/>
      <c r="I16" s="216" t="s">
        <v>367</v>
      </c>
      <c r="J16" s="218"/>
      <c r="K16" s="208" t="s">
        <v>367</v>
      </c>
      <c r="L16" s="208"/>
      <c r="M16" s="215">
        <v>2</v>
      </c>
    </row>
    <row r="17" spans="1:13" ht="17.25">
      <c r="A17" s="204" t="s">
        <v>369</v>
      </c>
      <c r="B17" s="205">
        <v>1</v>
      </c>
      <c r="C17" s="215">
        <v>2</v>
      </c>
      <c r="D17" s="206"/>
      <c r="E17" s="215"/>
      <c r="F17" s="219"/>
      <c r="G17" s="206"/>
      <c r="H17" s="206"/>
      <c r="I17" s="216"/>
      <c r="J17" s="218"/>
      <c r="K17" s="208"/>
      <c r="L17" s="208"/>
      <c r="M17" s="215"/>
    </row>
    <row r="18" spans="1:13" ht="17.25">
      <c r="A18" s="204" t="s">
        <v>6</v>
      </c>
      <c r="B18" s="205">
        <v>1</v>
      </c>
      <c r="C18" s="215"/>
      <c r="D18" s="206"/>
      <c r="E18" s="215"/>
      <c r="F18" s="219"/>
      <c r="G18" s="206"/>
      <c r="H18" s="206"/>
      <c r="I18" s="216"/>
      <c r="J18" s="218"/>
      <c r="K18" s="208"/>
      <c r="L18" s="208"/>
      <c r="M18" s="215"/>
    </row>
    <row r="19" spans="1:14" ht="17.25">
      <c r="A19" s="204" t="s">
        <v>296</v>
      </c>
      <c r="B19" s="205">
        <v>3</v>
      </c>
      <c r="C19" s="215">
        <v>10</v>
      </c>
      <c r="D19" s="206">
        <v>0.84</v>
      </c>
      <c r="E19" s="215">
        <v>7</v>
      </c>
      <c r="F19" s="219">
        <v>0.97</v>
      </c>
      <c r="G19" s="206">
        <v>7</v>
      </c>
      <c r="H19" s="206">
        <v>0.85</v>
      </c>
      <c r="I19" s="216" t="s">
        <v>370</v>
      </c>
      <c r="J19" s="218" t="s">
        <v>374</v>
      </c>
      <c r="K19" s="208" t="s">
        <v>370</v>
      </c>
      <c r="L19" s="208" t="s">
        <v>375</v>
      </c>
      <c r="M19" s="215">
        <v>6</v>
      </c>
      <c r="N19" s="213">
        <v>0.43</v>
      </c>
    </row>
    <row r="20" spans="1:13" ht="17.25">
      <c r="A20" s="204" t="s">
        <v>361</v>
      </c>
      <c r="B20" s="205">
        <v>1</v>
      </c>
      <c r="C20" s="215">
        <v>3</v>
      </c>
      <c r="D20" s="206"/>
      <c r="E20" s="215"/>
      <c r="F20" s="219"/>
      <c r="G20" s="206"/>
      <c r="H20" s="206"/>
      <c r="I20" s="216"/>
      <c r="J20" s="218"/>
      <c r="K20" s="208"/>
      <c r="L20" s="208"/>
      <c r="M20" s="215"/>
    </row>
    <row r="21" spans="1:14" ht="17.25">
      <c r="A21" s="204" t="s">
        <v>14</v>
      </c>
      <c r="B21" s="205">
        <v>2</v>
      </c>
      <c r="C21" s="215">
        <v>22</v>
      </c>
      <c r="D21" s="206">
        <v>0.19</v>
      </c>
      <c r="E21" s="215">
        <v>16</v>
      </c>
      <c r="F21" s="219">
        <v>0.66</v>
      </c>
      <c r="G21" s="206">
        <v>16</v>
      </c>
      <c r="H21" s="206">
        <v>0.79</v>
      </c>
      <c r="I21" s="216" t="s">
        <v>371</v>
      </c>
      <c r="J21" s="218" t="s">
        <v>376</v>
      </c>
      <c r="K21" s="208" t="s">
        <v>371</v>
      </c>
      <c r="L21" s="208" t="s">
        <v>377</v>
      </c>
      <c r="M21" s="215">
        <v>5</v>
      </c>
      <c r="N21" s="213">
        <v>0.39</v>
      </c>
    </row>
    <row r="22" spans="1:13" ht="17.25">
      <c r="A22" s="204" t="s">
        <v>139</v>
      </c>
      <c r="B22" s="211">
        <v>1</v>
      </c>
      <c r="C22" s="215">
        <v>5</v>
      </c>
      <c r="D22" s="206"/>
      <c r="E22" s="215">
        <v>4</v>
      </c>
      <c r="F22" s="219"/>
      <c r="G22" s="206">
        <v>4</v>
      </c>
      <c r="H22" s="206"/>
      <c r="I22" s="208"/>
      <c r="J22" s="208"/>
      <c r="K22" s="208"/>
      <c r="L22" s="208"/>
      <c r="M22" s="206"/>
    </row>
    <row r="23" spans="2:13" ht="17.25">
      <c r="B23" s="205">
        <f>SUM(B16:B22)</f>
        <v>11</v>
      </c>
      <c r="C23" s="206"/>
      <c r="D23" s="206"/>
      <c r="E23" s="206"/>
      <c r="F23" s="206"/>
      <c r="G23" s="206"/>
      <c r="H23" s="206"/>
      <c r="I23" s="208"/>
      <c r="J23" s="208"/>
      <c r="K23" s="208"/>
      <c r="L23" s="208"/>
      <c r="M23" s="206"/>
    </row>
  </sheetData>
  <sheetProtection/>
  <printOptions/>
  <pageMargins left="0.7" right="0.7" top="0.75" bottom="0.75" header="0.3" footer="0.3"/>
  <pageSetup fitToHeight="1" fitToWidth="1" horizontalDpi="600" verticalDpi="600" orientation="landscape" scale="68" r:id="rId3"/>
  <legacyDrawing r:id="rId2"/>
</worksheet>
</file>

<file path=xl/worksheets/sheet13.xml><?xml version="1.0" encoding="utf-8"?>
<worksheet xmlns="http://schemas.openxmlformats.org/spreadsheetml/2006/main" xmlns:r="http://schemas.openxmlformats.org/officeDocument/2006/relationships">
  <dimension ref="A2:R24"/>
  <sheetViews>
    <sheetView zoomScalePageLayoutView="0" workbookViewId="0" topLeftCell="A1">
      <selection activeCell="G18" sqref="G18"/>
    </sheetView>
  </sheetViews>
  <sheetFormatPr defaultColWidth="9.140625" defaultRowHeight="12.75"/>
  <cols>
    <col min="1" max="1" width="43.57421875" style="0" customWidth="1"/>
    <col min="2" max="2" width="19.8515625" style="2" customWidth="1"/>
    <col min="3" max="3" width="14.140625" style="0" customWidth="1"/>
    <col min="4" max="4" width="23.00390625" style="0" customWidth="1"/>
    <col min="5" max="5" width="14.00390625" style="2" customWidth="1"/>
    <col min="6" max="6" width="12.00390625" style="2" customWidth="1"/>
    <col min="7" max="7" width="9.140625" style="223" customWidth="1"/>
  </cols>
  <sheetData>
    <row r="2" spans="5:6" ht="17.25">
      <c r="E2" s="241"/>
      <c r="F2" s="241" t="s">
        <v>452</v>
      </c>
    </row>
    <row r="3" spans="5:18" ht="21">
      <c r="E3" s="241" t="s">
        <v>450</v>
      </c>
      <c r="F3" s="241" t="s">
        <v>453</v>
      </c>
      <c r="G3" s="260" t="s">
        <v>287</v>
      </c>
      <c r="K3" s="3" t="s">
        <v>461</v>
      </c>
      <c r="L3" s="3" t="s">
        <v>462</v>
      </c>
      <c r="M3" s="3" t="s">
        <v>463</v>
      </c>
      <c r="N3" s="3" t="s">
        <v>464</v>
      </c>
      <c r="O3" s="3" t="s">
        <v>465</v>
      </c>
      <c r="P3" s="3" t="s">
        <v>466</v>
      </c>
      <c r="Q3" s="3" t="s">
        <v>467</v>
      </c>
      <c r="R3" s="3" t="s">
        <v>468</v>
      </c>
    </row>
    <row r="4" spans="1:7" ht="21">
      <c r="A4" s="229" t="s">
        <v>420</v>
      </c>
      <c r="B4" s="230" t="s">
        <v>421</v>
      </c>
      <c r="C4" s="229" t="s">
        <v>422</v>
      </c>
      <c r="D4" s="229" t="s">
        <v>423</v>
      </c>
      <c r="E4" s="230" t="s">
        <v>451</v>
      </c>
      <c r="F4" s="230" t="s">
        <v>451</v>
      </c>
      <c r="G4" s="259" t="s">
        <v>469</v>
      </c>
    </row>
    <row r="5" spans="1:7" ht="12.75">
      <c r="A5" s="3" t="str">
        <f>Facilities!A9</f>
        <v>Columbia Vista Corporation / Vancouver</v>
      </c>
      <c r="B5" s="240">
        <f>IF(Facilities!K9="","",Facilities!K9)</f>
        <v>38496</v>
      </c>
      <c r="C5" s="72"/>
      <c r="D5" s="72" t="str">
        <f>IF(Facilities!I9="","",Facilities!I9)</f>
        <v>6/30/2010</v>
      </c>
      <c r="E5" s="233">
        <v>3500</v>
      </c>
      <c r="F5" s="242" t="s">
        <v>454</v>
      </c>
      <c r="G5" s="257">
        <f>IF(Facilities!D9="","",Facilities!D9)</f>
        <v>40.3</v>
      </c>
    </row>
    <row r="6" spans="1:7" ht="12.75">
      <c r="A6" s="3" t="str">
        <f>Facilities!A10</f>
        <v>Exterior Wood, Inc.</v>
      </c>
      <c r="B6" s="72">
        <f>IF(Facilities!K10="","",Facilities!K10)</f>
        <v>38513</v>
      </c>
      <c r="C6" s="72">
        <f>IF(Facilities!J10="","",Facilities!J10)</f>
        <v>39240</v>
      </c>
      <c r="D6" s="72" t="str">
        <f>IF(Facilities!I10="","",Facilities!I10)</f>
        <v>7/31/2012</v>
      </c>
      <c r="G6" s="258" t="str">
        <f>IF(Facilities!D10="","",Facilities!D10)</f>
        <v>25?</v>
      </c>
    </row>
    <row r="7" ht="12.75">
      <c r="G7" s="258"/>
    </row>
    <row r="8" spans="1:7" ht="21">
      <c r="A8" s="229" t="s">
        <v>424</v>
      </c>
      <c r="G8" s="258"/>
    </row>
    <row r="9" spans="1:7" ht="12.75">
      <c r="A9" s="3" t="str">
        <f>Facilities!A20</f>
        <v>Weyerhaeuser Hardwoods - Longview</v>
      </c>
      <c r="B9" s="72">
        <f>IF(Facilities!K20="","",Facilities!K20)</f>
        <v>35896</v>
      </c>
      <c r="C9" s="72">
        <f>IF(Facilities!J20="","",Facilities!J20)</f>
        <v>39205</v>
      </c>
      <c r="D9" s="72" t="str">
        <f>IF(Facilities!I20="","",Facilities!I20)</f>
        <v>11/31/2011</v>
      </c>
      <c r="E9" s="233">
        <v>5610</v>
      </c>
      <c r="G9" s="258">
        <f>IF(Facilities!D20="","",Facilities!D20)</f>
        <v>47.15</v>
      </c>
    </row>
    <row r="10" ht="12.75">
      <c r="G10" s="258"/>
    </row>
    <row r="11" spans="1:7" ht="21">
      <c r="A11" s="229" t="s">
        <v>425</v>
      </c>
      <c r="G11" s="258"/>
    </row>
    <row r="12" spans="1:7" ht="12.75">
      <c r="A12" s="3" t="str">
        <f>Facilities!A8</f>
        <v>Cascade Hardwoods, LLC</v>
      </c>
      <c r="B12" s="72">
        <f>IF(Facilities!K8="","",Facilities!K8)</f>
        <v>35812</v>
      </c>
      <c r="C12" s="72">
        <f>IF(Facilities!J8="","",Facilities!J8)</f>
        <v>38408</v>
      </c>
      <c r="D12" s="72" t="str">
        <f>IF(Facilities!I8="","",Facilities!I8)</f>
        <v>2/28/2010</v>
      </c>
      <c r="G12" s="258">
        <f>IF(Facilities!D8="","",Facilities!D8)</f>
        <v>101.534</v>
      </c>
    </row>
    <row r="13" spans="1:7" ht="12.75">
      <c r="A13" s="3" t="str">
        <f>Facilities!A11</f>
        <v>Hambleton Lumber Sales, LLC</v>
      </c>
      <c r="B13" s="72">
        <f>IF(Facilities!K11="","",Facilities!K11)</f>
        <v>41486</v>
      </c>
      <c r="C13" s="72"/>
      <c r="D13" s="72" t="str">
        <f>IF(Facilities!I11="","",Facilities!I11)</f>
        <v>7/31/2013</v>
      </c>
      <c r="G13" s="258">
        <f>IF(Facilities!D11="","",Facilities!D11)</f>
        <v>53.1</v>
      </c>
    </row>
    <row r="14" spans="1:7" ht="12.75">
      <c r="A14" s="3" t="str">
        <f>Facilities!A13</f>
        <v>Hampton Lumber Mills/Washington, Inc. - Morton</v>
      </c>
      <c r="B14" s="72">
        <f>IF(Facilities!K13="","",Facilities!K13)</f>
        <v>35162</v>
      </c>
      <c r="C14" s="72">
        <f>IF(Facilities!J13="","",Facilities!J13)</f>
        <v>39127</v>
      </c>
      <c r="D14" s="72" t="str">
        <f>IF(Facilities!I13="","",Facilities!I13)</f>
        <v>2/28/2012</v>
      </c>
      <c r="G14" s="258">
        <f>IF(Facilities!D13="","",Facilities!D13)</f>
        <v>170</v>
      </c>
    </row>
    <row r="15" spans="1:7" ht="12.75">
      <c r="A15" s="3" t="str">
        <f>Facilities!A14</f>
        <v>Hampton Lumber Mills/Washington, Inc. - Randle</v>
      </c>
      <c r="B15" s="72">
        <f>IF(Facilities!K14="","",Facilities!K14)</f>
        <v>35581</v>
      </c>
      <c r="C15" s="72">
        <f>IF(Facilities!J14="","",Facilities!J14)</f>
        <v>37670</v>
      </c>
      <c r="D15" s="72" t="str">
        <f>IF(Facilities!I14="","",Facilities!I14)</f>
        <v>11/30/2008</v>
      </c>
      <c r="G15" s="258">
        <f>IF(Facilities!D14="","",Facilities!D14)</f>
        <v>325</v>
      </c>
    </row>
    <row r="16" spans="1:7" ht="12.75">
      <c r="A16" s="3" t="str">
        <f>Facilities!A16</f>
        <v>Sierra Pacific Industries - Centralia Division</v>
      </c>
      <c r="B16" s="72">
        <f>IF(Facilities!K16="","",Facilities!K16)</f>
      </c>
      <c r="C16" s="72"/>
      <c r="D16" s="72" t="str">
        <f>IF(Facilities!I16="","",Facilities!I16)</f>
        <v>11/30/2009</v>
      </c>
      <c r="G16" s="258">
        <f>IF(Facilities!D16="","",Facilities!D16)</f>
        <v>300</v>
      </c>
    </row>
    <row r="17" spans="1:7" ht="12.75">
      <c r="A17" s="3" t="str">
        <f>Facilities!A19</f>
        <v>Weyerhaeuser Hardwoods - Centralia</v>
      </c>
      <c r="B17" s="72">
        <f>IF(Facilities!K19="","",Facilities!K19)</f>
        <v>35235</v>
      </c>
      <c r="C17" s="72">
        <f>IF(Facilities!J19="","",Facilities!J19)</f>
        <v>38479</v>
      </c>
      <c r="D17" s="72" t="str">
        <f>IF(Facilities!I19="","",Facilities!I19)</f>
        <v>5/31/2010</v>
      </c>
      <c r="G17" s="258">
        <f>IF(Facilities!D19="","",Facilities!D19)</f>
        <v>47.9</v>
      </c>
    </row>
    <row r="18" ht="12.75">
      <c r="G18" s="258"/>
    </row>
    <row r="19" spans="1:7" ht="21">
      <c r="A19" s="229" t="s">
        <v>427</v>
      </c>
      <c r="G19" s="258"/>
    </row>
    <row r="20" spans="1:7" ht="12.75">
      <c r="A20" s="3" t="str">
        <f>Facilities!A21</f>
        <v>Wilkins, Kaiser &amp; Olsen, Inc.</v>
      </c>
      <c r="G20" s="258">
        <f>Facilities!D21</f>
        <v>144</v>
      </c>
    </row>
    <row r="21" ht="12.75">
      <c r="B21"/>
    </row>
    <row r="24" ht="12.75">
      <c r="A24" s="3" t="s">
        <v>455</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P44"/>
  <sheetViews>
    <sheetView zoomScalePageLayoutView="0" workbookViewId="0" topLeftCell="A1">
      <selection activeCell="I25" sqref="I25"/>
    </sheetView>
  </sheetViews>
  <sheetFormatPr defaultColWidth="9.140625" defaultRowHeight="12.75"/>
  <cols>
    <col min="1" max="1" width="44.00390625" style="0" customWidth="1"/>
    <col min="2" max="2" width="24.00390625" style="0" customWidth="1"/>
    <col min="3" max="3" width="12.7109375" style="0" customWidth="1"/>
    <col min="5" max="5" width="10.7109375" style="0" bestFit="1" customWidth="1"/>
    <col min="6" max="6" width="13.7109375" style="0" customWidth="1"/>
    <col min="7" max="7" width="12.00390625" style="0" customWidth="1"/>
    <col min="8" max="8" width="10.8515625" style="0" customWidth="1"/>
  </cols>
  <sheetData>
    <row r="1" ht="12.75">
      <c r="A1" s="1" t="s">
        <v>428</v>
      </c>
    </row>
    <row r="3" spans="1:2" ht="12.75">
      <c r="A3" s="3" t="s">
        <v>431</v>
      </c>
      <c r="B3">
        <v>140</v>
      </c>
    </row>
    <row r="4" spans="1:3" ht="12.75">
      <c r="A4" s="3" t="s">
        <v>437</v>
      </c>
      <c r="B4" s="234">
        <v>40</v>
      </c>
      <c r="C4" s="3" t="s">
        <v>438</v>
      </c>
    </row>
    <row r="6" spans="1:2" ht="12.75">
      <c r="A6" s="3" t="s">
        <v>429</v>
      </c>
      <c r="B6" s="232">
        <f>30000/10</f>
        <v>3000</v>
      </c>
    </row>
    <row r="7" spans="1:2" ht="12.75">
      <c r="A7" s="3" t="s">
        <v>430</v>
      </c>
      <c r="B7" s="232">
        <v>2500</v>
      </c>
    </row>
    <row r="8" spans="1:2" ht="12.75">
      <c r="A8" s="3" t="s">
        <v>432</v>
      </c>
      <c r="B8" s="232">
        <v>2200</v>
      </c>
    </row>
    <row r="9" spans="1:2" ht="12.75">
      <c r="A9" s="3" t="s">
        <v>437</v>
      </c>
      <c r="B9" s="232">
        <f>B3*B4</f>
        <v>5600</v>
      </c>
    </row>
    <row r="10" spans="1:2" ht="12.75">
      <c r="A10" s="3" t="s">
        <v>439</v>
      </c>
      <c r="B10" s="232">
        <v>0</v>
      </c>
    </row>
    <row r="11" spans="1:2" ht="12.75">
      <c r="A11" s="13" t="s">
        <v>433</v>
      </c>
      <c r="B11" s="237">
        <f>0.4*SUM(B6:B10)</f>
        <v>5320</v>
      </c>
    </row>
    <row r="12" spans="1:2" ht="12.75">
      <c r="A12" s="3" t="s">
        <v>434</v>
      </c>
      <c r="B12" s="238">
        <f>SUM(B6:B11)</f>
        <v>18620</v>
      </c>
    </row>
    <row r="15" spans="7:8" ht="12.75">
      <c r="G15" s="3"/>
      <c r="H15" s="3"/>
    </row>
    <row r="16" spans="7:9" ht="12.75">
      <c r="G16" s="153" t="s">
        <v>443</v>
      </c>
      <c r="H16" s="153" t="s">
        <v>446</v>
      </c>
      <c r="I16" s="239" t="s">
        <v>394</v>
      </c>
    </row>
    <row r="17" spans="1:16" ht="12.75">
      <c r="A17" s="154" t="s">
        <v>9</v>
      </c>
      <c r="B17" s="154" t="s">
        <v>133</v>
      </c>
      <c r="C17" s="155" t="s">
        <v>435</v>
      </c>
      <c r="D17" s="155" t="s">
        <v>436</v>
      </c>
      <c r="E17" s="155" t="s">
        <v>440</v>
      </c>
      <c r="F17" s="236" t="s">
        <v>441</v>
      </c>
      <c r="G17" s="236" t="s">
        <v>444</v>
      </c>
      <c r="H17" s="236" t="s">
        <v>445</v>
      </c>
      <c r="I17" s="236" t="s">
        <v>329</v>
      </c>
      <c r="J17" s="236" t="s">
        <v>3</v>
      </c>
      <c r="K17" s="12"/>
      <c r="L17" s="12"/>
      <c r="M17" s="12"/>
      <c r="N17" s="12"/>
      <c r="O17" s="12"/>
      <c r="P17" s="12"/>
    </row>
    <row r="18" spans="1:8" ht="12.75">
      <c r="A18" t="str">
        <f>Facilities!A29</f>
        <v>Cascade Hardwoods, LLC</v>
      </c>
      <c r="B18" t="str">
        <f>Facilities!B29</f>
        <v>Alder</v>
      </c>
      <c r="C18" s="2">
        <f>Facilities!D29</f>
        <v>140</v>
      </c>
      <c r="D18" s="160">
        <v>18276</v>
      </c>
      <c r="E18" s="233">
        <f>1.4*($B$6+$B$7+$B$8+C18*$B$4+$B$10)</f>
        <v>18620</v>
      </c>
      <c r="F18" s="233">
        <f>E18-D18</f>
        <v>344</v>
      </c>
      <c r="G18" s="233">
        <f>D18+30000-B6</f>
        <v>45276</v>
      </c>
      <c r="H18" s="233">
        <f>D18/1.4</f>
        <v>13054.285714285716</v>
      </c>
    </row>
    <row r="19" spans="1:8" ht="12.75">
      <c r="A19" t="str">
        <f>Facilities!A30</f>
        <v>Columbia Vista Corporation / Vancouver</v>
      </c>
      <c r="B19" t="str">
        <f>Facilities!B30</f>
        <v>Doug Fir</v>
      </c>
      <c r="C19" s="2">
        <f>Facilities!D30</f>
        <v>180</v>
      </c>
      <c r="D19" s="160">
        <v>20383</v>
      </c>
      <c r="E19" s="233">
        <f aca="true" t="shared" si="0" ref="E19:E28">1.4*($B$6+$B$7+$B$8+C19*$B$4+$B$10)</f>
        <v>20860</v>
      </c>
      <c r="F19" s="233">
        <f aca="true" t="shared" si="1" ref="F19:F28">E19-D19</f>
        <v>477</v>
      </c>
      <c r="G19" s="233">
        <f aca="true" t="shared" si="2" ref="G19:G28">D19+30000-B7</f>
        <v>47883</v>
      </c>
      <c r="H19" s="233">
        <f aca="true" t="shared" si="3" ref="H19:H28">D19/1.4</f>
        <v>14559.285714285716</v>
      </c>
    </row>
    <row r="20" spans="1:8" ht="12.75">
      <c r="A20" t="str">
        <f>Facilities!A31</f>
        <v>Exterior Wood, Inc.</v>
      </c>
      <c r="B20" t="str">
        <f>Facilities!B31</f>
        <v>Treated Doug Fir</v>
      </c>
      <c r="C20" s="2">
        <v>30</v>
      </c>
      <c r="D20" s="160">
        <v>12421</v>
      </c>
      <c r="E20" s="233">
        <f t="shared" si="0"/>
        <v>12460</v>
      </c>
      <c r="F20" s="233">
        <f t="shared" si="1"/>
        <v>39</v>
      </c>
      <c r="G20" s="233">
        <f t="shared" si="2"/>
        <v>40221</v>
      </c>
      <c r="H20" s="233">
        <f t="shared" si="3"/>
        <v>8872.142857142857</v>
      </c>
    </row>
    <row r="21" spans="1:8" ht="12.75">
      <c r="A21" t="str">
        <f>Facilities!A34</f>
        <v>Hampton Lumber Mills/Washington, Inc. - Morton</v>
      </c>
      <c r="B21" t="str">
        <f>Facilities!B34</f>
        <v>Doug Fir</v>
      </c>
      <c r="C21" s="2">
        <f>Facilities!D34</f>
        <v>32</v>
      </c>
      <c r="D21" s="160">
        <v>12597</v>
      </c>
      <c r="E21" s="233">
        <f t="shared" si="0"/>
        <v>12572</v>
      </c>
      <c r="F21" s="233">
        <f t="shared" si="1"/>
        <v>-25</v>
      </c>
      <c r="G21" s="233">
        <f t="shared" si="2"/>
        <v>36997</v>
      </c>
      <c r="H21" s="233">
        <f t="shared" si="3"/>
        <v>8997.857142857143</v>
      </c>
    </row>
    <row r="22" spans="1:8" ht="12.75">
      <c r="A22" t="str">
        <f>Facilities!A35</f>
        <v>Hampton Lumber Mills/Washington, Inc. - Randle</v>
      </c>
      <c r="B22" t="str">
        <f>Facilities!B35</f>
        <v>Hemlock</v>
      </c>
      <c r="C22" s="2">
        <f>Facilities!D35</f>
        <v>45</v>
      </c>
      <c r="D22" s="160">
        <v>13299</v>
      </c>
      <c r="E22" s="233">
        <f t="shared" si="0"/>
        <v>13300</v>
      </c>
      <c r="F22" s="233">
        <f t="shared" si="1"/>
        <v>1</v>
      </c>
      <c r="G22" s="233">
        <f t="shared" si="2"/>
        <v>43299</v>
      </c>
      <c r="H22" s="233">
        <f t="shared" si="3"/>
        <v>9499.285714285716</v>
      </c>
    </row>
    <row r="23" spans="1:10" ht="12.75">
      <c r="A23" t="str">
        <f>Facilities!A37</f>
        <v>Sierra Pacific Industries - Centralia Division</v>
      </c>
      <c r="B23" t="str">
        <f>Facilities!B37</f>
        <v>Douglas-fir</v>
      </c>
      <c r="C23" s="2">
        <f>Facilities!D37</f>
        <v>33</v>
      </c>
      <c r="D23" s="160">
        <v>12655</v>
      </c>
      <c r="E23" s="233">
        <f t="shared" si="0"/>
        <v>12628</v>
      </c>
      <c r="F23" s="233">
        <f t="shared" si="1"/>
        <v>-27</v>
      </c>
      <c r="G23" s="233">
        <f t="shared" si="2"/>
        <v>37335</v>
      </c>
      <c r="H23" s="233">
        <f t="shared" si="3"/>
        <v>9039.285714285716</v>
      </c>
      <c r="J23" s="3" t="s">
        <v>447</v>
      </c>
    </row>
    <row r="24" spans="1:10" ht="12.75">
      <c r="A24" t="str">
        <f>Facilities!A38</f>
        <v>Sierra Pacific Industries - Centralia Division</v>
      </c>
      <c r="B24" t="str">
        <f>Facilities!B38</f>
        <v>Hemlock</v>
      </c>
      <c r="C24" s="2">
        <v>51.75</v>
      </c>
      <c r="D24" s="160">
        <v>13709</v>
      </c>
      <c r="E24" s="233">
        <f t="shared" si="0"/>
        <v>13678</v>
      </c>
      <c r="F24" s="233">
        <f t="shared" si="1"/>
        <v>-31</v>
      </c>
      <c r="G24" s="233">
        <f t="shared" si="2"/>
        <v>25089</v>
      </c>
      <c r="H24" s="233">
        <f t="shared" si="3"/>
        <v>9792.142857142857</v>
      </c>
      <c r="J24" s="3" t="s">
        <v>448</v>
      </c>
    </row>
    <row r="25" spans="1:8" ht="12.75">
      <c r="A25" t="str">
        <f>Facilities!A41</f>
        <v>Weyerhaeuser Hardwoods - Centralia</v>
      </c>
      <c r="B25" t="str">
        <f>Facilities!B41</f>
        <v>Maple</v>
      </c>
      <c r="C25" s="2">
        <f>Facilities!D41</f>
        <v>165</v>
      </c>
      <c r="D25" s="160">
        <v>20559</v>
      </c>
      <c r="E25" s="233">
        <f t="shared" si="0"/>
        <v>20020</v>
      </c>
      <c r="F25" s="233">
        <f t="shared" si="1"/>
        <v>-539</v>
      </c>
      <c r="G25" s="233">
        <f t="shared" si="2"/>
        <v>50559</v>
      </c>
      <c r="H25" s="233">
        <f t="shared" si="3"/>
        <v>14685.000000000002</v>
      </c>
    </row>
    <row r="26" spans="1:8" ht="12.75">
      <c r="A26" t="str">
        <f>Facilities!A42</f>
        <v>Weyerhaeuser Hardwoods - Centralia</v>
      </c>
      <c r="B26" t="str">
        <f>Facilities!B42</f>
        <v>Alder - Water Wood</v>
      </c>
      <c r="C26" s="2">
        <f>Facilities!D42</f>
        <v>140</v>
      </c>
      <c r="D26" s="160">
        <v>18276</v>
      </c>
      <c r="E26" s="233">
        <f t="shared" si="0"/>
        <v>18620</v>
      </c>
      <c r="F26" s="233">
        <f t="shared" si="1"/>
        <v>344</v>
      </c>
      <c r="G26" s="233">
        <f t="shared" si="2"/>
        <v>48276</v>
      </c>
      <c r="H26" s="233">
        <f t="shared" si="3"/>
        <v>13054.285714285716</v>
      </c>
    </row>
    <row r="27" spans="1:8" ht="12.75">
      <c r="A27" t="str">
        <f>Facilities!A43</f>
        <v>Weyerhaeuser Hardwoods - Longview</v>
      </c>
      <c r="B27" t="str">
        <f>Facilities!B43</f>
        <v>Alder</v>
      </c>
      <c r="C27" s="2">
        <f>Facilities!D43</f>
        <v>140</v>
      </c>
      <c r="D27" s="160">
        <v>18276</v>
      </c>
      <c r="E27" s="233">
        <f t="shared" si="0"/>
        <v>18620</v>
      </c>
      <c r="F27" s="233">
        <f t="shared" si="1"/>
        <v>344</v>
      </c>
      <c r="G27" s="233">
        <f t="shared" si="2"/>
        <v>48276</v>
      </c>
      <c r="H27" s="233">
        <f t="shared" si="3"/>
        <v>13054.285714285716</v>
      </c>
    </row>
    <row r="28" spans="1:8" ht="12.75">
      <c r="A28" t="str">
        <f>Facilities!A44</f>
        <v>Wilkins, Kaiser &amp; Olsen, Inc.</v>
      </c>
      <c r="B28" t="str">
        <f>Facilities!B44</f>
        <v>White Fir (note White "wood" could include hemlock)</v>
      </c>
      <c r="C28" s="16">
        <f>Facilities!D44</f>
        <v>56</v>
      </c>
      <c r="D28" s="202">
        <v>13885</v>
      </c>
      <c r="E28" s="235">
        <f t="shared" si="0"/>
        <v>13916</v>
      </c>
      <c r="F28" s="235">
        <f t="shared" si="1"/>
        <v>31</v>
      </c>
      <c r="G28" s="235">
        <f t="shared" si="2"/>
        <v>43885</v>
      </c>
      <c r="H28" s="235">
        <f t="shared" si="3"/>
        <v>9917.857142857143</v>
      </c>
    </row>
    <row r="29" spans="3:9" ht="12.75">
      <c r="C29" s="3" t="s">
        <v>442</v>
      </c>
      <c r="D29" s="232">
        <f>SUM(D18:D28)</f>
        <v>174336</v>
      </c>
      <c r="E29" s="233">
        <f>SUM(E18:E28)</f>
        <v>175294</v>
      </c>
      <c r="F29" s="233">
        <f>SUM(F18:F28)</f>
        <v>958</v>
      </c>
      <c r="G29" s="233">
        <f>SUM(G18:G28)</f>
        <v>467096</v>
      </c>
      <c r="H29" s="233">
        <f>SUM(H18:H28)</f>
        <v>124525.71428571429</v>
      </c>
      <c r="I29" s="232"/>
    </row>
    <row r="34" ht="12.75">
      <c r="F34">
        <f>18276-5500-2200</f>
        <v>10576</v>
      </c>
    </row>
    <row r="38" ht="12.75">
      <c r="F38" s="3">
        <f>12421-5500-2200</f>
        <v>4721</v>
      </c>
    </row>
    <row r="39" ht="12.75">
      <c r="F39">
        <f>30*10576</f>
        <v>317280</v>
      </c>
    </row>
    <row r="40" ht="12.75">
      <c r="F40">
        <f>F39/140</f>
        <v>2266.285714285714</v>
      </c>
    </row>
    <row r="41" ht="12.75">
      <c r="F41">
        <f>1-(30/140)</f>
        <v>0.7857142857142857</v>
      </c>
    </row>
    <row r="42" ht="12.75">
      <c r="F42">
        <f>4721-F40</f>
        <v>2454.714285714286</v>
      </c>
    </row>
    <row r="43" ht="12.75">
      <c r="F43">
        <f>F42/F41</f>
        <v>3124.1818181818185</v>
      </c>
    </row>
    <row r="44" ht="12.75">
      <c r="F44">
        <f>(10576-F43)/140</f>
        <v>53.22727272727273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50"/>
  <sheetViews>
    <sheetView zoomScalePageLayoutView="0" workbookViewId="0" topLeftCell="A40">
      <selection activeCell="H18" sqref="H18"/>
    </sheetView>
  </sheetViews>
  <sheetFormatPr defaultColWidth="9.140625" defaultRowHeight="12.75"/>
  <cols>
    <col min="1" max="1" width="13.00390625" style="0" customWidth="1"/>
    <col min="2" max="2" width="14.140625" style="0" customWidth="1"/>
    <col min="3" max="3" width="14.8515625" style="0" customWidth="1"/>
    <col min="4" max="4" width="13.8515625" style="0" customWidth="1"/>
    <col min="5" max="5" width="12.8515625" style="0" customWidth="1"/>
    <col min="6" max="6" width="11.8515625" style="0" customWidth="1"/>
    <col min="7" max="7" width="14.28125" style="0" customWidth="1"/>
    <col min="8" max="8" width="16.00390625" style="4" customWidth="1"/>
    <col min="9" max="9" width="16.28125" style="4" customWidth="1"/>
    <col min="10" max="10" width="14.8515625" style="0" customWidth="1"/>
    <col min="11" max="11" width="12.8515625" style="0" customWidth="1"/>
    <col min="12" max="12" width="13.7109375" style="0" customWidth="1"/>
    <col min="13" max="13" width="9.8515625" style="0" customWidth="1"/>
    <col min="14" max="15" width="16.28125" style="0" customWidth="1"/>
    <col min="16" max="16" width="27.7109375" style="0" customWidth="1"/>
    <col min="17" max="17" width="10.8515625" style="0" bestFit="1" customWidth="1"/>
    <col min="18" max="18" width="37.421875" style="0" bestFit="1" customWidth="1"/>
  </cols>
  <sheetData>
    <row r="1" ht="12.75">
      <c r="A1" s="1" t="s">
        <v>7</v>
      </c>
    </row>
    <row r="2" ht="12.75"/>
    <row r="3" ht="12.75"/>
    <row r="4" ht="15.75">
      <c r="A4" s="96" t="s">
        <v>5</v>
      </c>
    </row>
    <row r="5" spans="1:13" ht="12.75">
      <c r="A5" s="19" t="s">
        <v>168</v>
      </c>
      <c r="B5" s="19" t="s">
        <v>59</v>
      </c>
      <c r="C5" s="2"/>
      <c r="D5" s="2"/>
      <c r="E5" s="2"/>
      <c r="G5" s="2"/>
      <c r="H5" s="2"/>
      <c r="I5"/>
      <c r="M5" s="41"/>
    </row>
    <row r="6" spans="1:15" ht="12.75">
      <c r="A6" s="19" t="s">
        <v>47</v>
      </c>
      <c r="B6" s="19" t="s">
        <v>47</v>
      </c>
      <c r="C6" s="19" t="s">
        <v>69</v>
      </c>
      <c r="D6" s="2"/>
      <c r="E6" s="2"/>
      <c r="F6" s="102" t="s">
        <v>0</v>
      </c>
      <c r="H6"/>
      <c r="I6"/>
      <c r="L6" s="19" t="s">
        <v>110</v>
      </c>
      <c r="M6" s="19" t="s">
        <v>59</v>
      </c>
      <c r="N6" s="19" t="s">
        <v>65</v>
      </c>
      <c r="O6" s="19" t="s">
        <v>65</v>
      </c>
    </row>
    <row r="7" spans="1:15" ht="12.75">
      <c r="A7" s="19" t="s">
        <v>56</v>
      </c>
      <c r="B7" s="19" t="s">
        <v>58</v>
      </c>
      <c r="C7" s="19" t="s">
        <v>38</v>
      </c>
      <c r="D7" s="19" t="s">
        <v>61</v>
      </c>
      <c r="E7" s="19" t="s">
        <v>63</v>
      </c>
      <c r="F7" s="19" t="s">
        <v>158</v>
      </c>
      <c r="G7" s="19" t="s">
        <v>90</v>
      </c>
      <c r="H7" s="19" t="s">
        <v>1</v>
      </c>
      <c r="I7" s="19" t="s">
        <v>2</v>
      </c>
      <c r="J7" s="19" t="s">
        <v>101</v>
      </c>
      <c r="K7" s="19" t="s">
        <v>102</v>
      </c>
      <c r="L7" s="19" t="s">
        <v>111</v>
      </c>
      <c r="M7" s="19" t="s">
        <v>112</v>
      </c>
      <c r="N7" s="19" t="s">
        <v>66</v>
      </c>
      <c r="O7" s="19" t="s">
        <v>203</v>
      </c>
    </row>
    <row r="8" spans="1:17" ht="15.75">
      <c r="A8" s="14" t="s">
        <v>57</v>
      </c>
      <c r="B8" s="14" t="s">
        <v>57</v>
      </c>
      <c r="C8" s="14" t="s">
        <v>60</v>
      </c>
      <c r="D8" s="14" t="s">
        <v>62</v>
      </c>
      <c r="E8" s="14" t="s">
        <v>150</v>
      </c>
      <c r="F8" s="7" t="s">
        <v>159</v>
      </c>
      <c r="G8" s="7" t="s">
        <v>151</v>
      </c>
      <c r="H8" s="7" t="s">
        <v>151</v>
      </c>
      <c r="I8" s="7" t="s">
        <v>151</v>
      </c>
      <c r="J8" s="7" t="s">
        <v>151</v>
      </c>
      <c r="K8" s="7" t="s">
        <v>151</v>
      </c>
      <c r="L8" s="20" t="s">
        <v>4</v>
      </c>
      <c r="M8" s="14" t="s">
        <v>113</v>
      </c>
      <c r="N8" s="14" t="s">
        <v>20</v>
      </c>
      <c r="O8" s="14" t="s">
        <v>20</v>
      </c>
      <c r="P8" s="13" t="s">
        <v>67</v>
      </c>
      <c r="Q8" s="7" t="s">
        <v>3</v>
      </c>
    </row>
    <row r="9" spans="1:17" ht="12.75">
      <c r="A9" s="51">
        <v>180</v>
      </c>
      <c r="B9" s="51">
        <v>135</v>
      </c>
      <c r="C9" s="52" t="s">
        <v>130</v>
      </c>
      <c r="D9" s="51">
        <v>102.1</v>
      </c>
      <c r="E9" s="51">
        <v>0.173</v>
      </c>
      <c r="F9" s="129">
        <f>44/36*E9</f>
        <v>0.21144444444444443</v>
      </c>
      <c r="G9" s="51">
        <v>0.124</v>
      </c>
      <c r="H9" s="51">
        <v>0.0009</v>
      </c>
      <c r="I9" s="130">
        <v>0.114</v>
      </c>
      <c r="J9" s="130">
        <v>0.0014</v>
      </c>
      <c r="K9" s="130">
        <v>0.0011</v>
      </c>
      <c r="L9" s="51">
        <f>126+14/60</f>
        <v>126.23333333333333</v>
      </c>
      <c r="M9" s="131">
        <v>0.08</v>
      </c>
      <c r="N9" s="132">
        <v>39205</v>
      </c>
      <c r="O9" s="132"/>
      <c r="P9" s="9" t="s">
        <v>182</v>
      </c>
      <c r="Q9" s="133" t="s">
        <v>183</v>
      </c>
    </row>
    <row r="10" spans="1:17" ht="12.75">
      <c r="A10" s="15">
        <f>85*1.8+32</f>
        <v>185</v>
      </c>
      <c r="B10" s="22">
        <f>54*1.8+32</f>
        <v>129.2</v>
      </c>
      <c r="C10" s="22" t="s">
        <v>115</v>
      </c>
      <c r="D10" s="15">
        <v>103</v>
      </c>
      <c r="E10" s="15">
        <v>0.21</v>
      </c>
      <c r="F10" s="95">
        <f>44/36*E10</f>
        <v>0.25666666666666665</v>
      </c>
      <c r="G10" s="15"/>
      <c r="H10" s="15"/>
      <c r="I10" s="15"/>
      <c r="J10" s="15"/>
      <c r="K10" s="15"/>
      <c r="L10" s="15">
        <v>125.48</v>
      </c>
      <c r="M10" s="85">
        <v>0.07</v>
      </c>
      <c r="N10" s="10"/>
      <c r="O10" s="65" t="s">
        <v>207</v>
      </c>
      <c r="P10" s="58" t="s">
        <v>189</v>
      </c>
      <c r="Q10" s="58" t="s">
        <v>206</v>
      </c>
    </row>
    <row r="11" spans="1:17" ht="12.75">
      <c r="A11" s="15">
        <f>85*1.8+32</f>
        <v>185</v>
      </c>
      <c r="B11" s="22">
        <f>54*1.8+32</f>
        <v>129.2</v>
      </c>
      <c r="C11" s="22" t="s">
        <v>115</v>
      </c>
      <c r="D11" s="15">
        <v>101.5</v>
      </c>
      <c r="E11" s="15">
        <v>0.196</v>
      </c>
      <c r="F11" s="95">
        <f>44/36*E11</f>
        <v>0.23955555555555558</v>
      </c>
      <c r="G11" s="15"/>
      <c r="H11" s="15"/>
      <c r="I11" s="15"/>
      <c r="J11" s="15"/>
      <c r="K11" s="15"/>
      <c r="L11" s="15">
        <f>92+2/60</f>
        <v>92.03333333333333</v>
      </c>
      <c r="M11" s="85">
        <v>0.07</v>
      </c>
      <c r="N11" s="10"/>
      <c r="O11" s="127" t="s">
        <v>205</v>
      </c>
      <c r="P11" s="58" t="s">
        <v>204</v>
      </c>
      <c r="Q11" s="58" t="s">
        <v>415</v>
      </c>
    </row>
    <row r="12" spans="1:17" ht="13.5" thickBot="1">
      <c r="A12" s="86">
        <f>85*1.8+32</f>
        <v>185</v>
      </c>
      <c r="B12" s="89">
        <f>54*1.8+32</f>
        <v>129.2</v>
      </c>
      <c r="C12" s="89" t="s">
        <v>115</v>
      </c>
      <c r="D12" s="86">
        <v>105</v>
      </c>
      <c r="E12" s="86">
        <v>0.59</v>
      </c>
      <c r="F12" s="110">
        <f>44/36*E12</f>
        <v>0.7211111111111111</v>
      </c>
      <c r="G12" s="86"/>
      <c r="H12" s="86"/>
      <c r="I12" s="86"/>
      <c r="J12" s="86"/>
      <c r="K12" s="86"/>
      <c r="L12" s="86">
        <f>93.25</f>
        <v>93.25</v>
      </c>
      <c r="M12" s="90">
        <v>0.07</v>
      </c>
      <c r="N12" s="30"/>
      <c r="O12" s="30"/>
      <c r="P12" s="91"/>
      <c r="Q12" s="91" t="s">
        <v>114</v>
      </c>
    </row>
    <row r="13" spans="1:17" ht="12.75">
      <c r="A13" s="2">
        <v>235</v>
      </c>
      <c r="B13" s="2"/>
      <c r="C13" s="19" t="s">
        <v>130</v>
      </c>
      <c r="D13" s="2">
        <v>100.1</v>
      </c>
      <c r="E13" s="2">
        <v>0.659</v>
      </c>
      <c r="F13" s="109">
        <f>44/36*E13</f>
        <v>0.8054444444444445</v>
      </c>
      <c r="G13" s="2">
        <v>0.416</v>
      </c>
      <c r="H13" s="2">
        <v>0.0048</v>
      </c>
      <c r="I13" s="5">
        <v>0.129</v>
      </c>
      <c r="J13" s="5">
        <v>0.0016</v>
      </c>
      <c r="K13" s="5">
        <v>0.0018</v>
      </c>
      <c r="L13" s="2"/>
      <c r="M13" s="75">
        <v>0.102</v>
      </c>
      <c r="Q13" s="58" t="s">
        <v>125</v>
      </c>
    </row>
    <row r="14" spans="1:17" ht="12.75">
      <c r="A14" s="2"/>
      <c r="B14" s="2"/>
      <c r="C14" s="19"/>
      <c r="D14" s="2"/>
      <c r="E14" s="2"/>
      <c r="F14" s="109"/>
      <c r="G14" s="2"/>
      <c r="H14" s="2"/>
      <c r="I14" s="5"/>
      <c r="J14" s="5"/>
      <c r="K14" s="5"/>
      <c r="L14" s="2"/>
      <c r="M14" s="75"/>
      <c r="Q14" s="58"/>
    </row>
    <row r="15" spans="1:17" ht="12.75">
      <c r="A15" s="2">
        <v>185</v>
      </c>
      <c r="B15" s="2"/>
      <c r="C15" s="19"/>
      <c r="D15" s="2">
        <v>101.5</v>
      </c>
      <c r="E15" s="2">
        <v>0.2</v>
      </c>
      <c r="F15" s="109">
        <f aca="true" t="shared" si="0" ref="F15:F21">44/36*E15</f>
        <v>0.24444444444444446</v>
      </c>
      <c r="G15" s="2"/>
      <c r="H15" s="2"/>
      <c r="I15" s="5"/>
      <c r="J15" s="5"/>
      <c r="K15" s="5"/>
      <c r="L15" s="2">
        <f>92+3/60</f>
        <v>92.05</v>
      </c>
      <c r="M15" s="75">
        <v>0.07</v>
      </c>
      <c r="Q15" s="58"/>
    </row>
    <row r="16" spans="1:17" ht="12.75">
      <c r="A16" s="2">
        <v>180</v>
      </c>
      <c r="B16" s="2">
        <v>130</v>
      </c>
      <c r="C16" s="19" t="s">
        <v>200</v>
      </c>
      <c r="D16" s="2">
        <v>101.6</v>
      </c>
      <c r="E16" s="2">
        <v>0.58</v>
      </c>
      <c r="F16" s="109">
        <f t="shared" si="0"/>
        <v>0.7088888888888889</v>
      </c>
      <c r="G16" s="2"/>
      <c r="H16" s="2"/>
      <c r="I16" s="5"/>
      <c r="J16" s="5"/>
      <c r="K16" s="5"/>
      <c r="L16" s="2">
        <f>93+14/60</f>
        <v>93.23333333333333</v>
      </c>
      <c r="M16" s="75">
        <v>0.08</v>
      </c>
      <c r="N16" s="33">
        <v>37165</v>
      </c>
      <c r="O16" s="41">
        <v>37178</v>
      </c>
      <c r="P16" s="3" t="s">
        <v>201</v>
      </c>
      <c r="Q16" s="58" t="s">
        <v>202</v>
      </c>
    </row>
    <row r="17" spans="1:17" ht="12.75">
      <c r="A17" s="2">
        <v>180</v>
      </c>
      <c r="B17" s="2">
        <v>135</v>
      </c>
      <c r="C17" s="19"/>
      <c r="D17" s="123">
        <v>0.999</v>
      </c>
      <c r="E17" s="2">
        <v>2.22</v>
      </c>
      <c r="F17" s="109">
        <f t="shared" si="0"/>
        <v>2.713333333333334</v>
      </c>
      <c r="G17" s="46" t="s">
        <v>197</v>
      </c>
      <c r="H17" s="2"/>
      <c r="I17" s="5"/>
      <c r="J17" s="5"/>
      <c r="K17" s="5"/>
      <c r="L17" s="2">
        <f>140+32/60</f>
        <v>140.53333333333333</v>
      </c>
      <c r="M17" s="75">
        <v>0.08</v>
      </c>
      <c r="P17" s="3" t="s">
        <v>182</v>
      </c>
      <c r="Q17" s="58" t="s">
        <v>199</v>
      </c>
    </row>
    <row r="18" spans="1:17" ht="12.75">
      <c r="A18" s="2">
        <v>200</v>
      </c>
      <c r="B18" s="122" t="s">
        <v>184</v>
      </c>
      <c r="C18" s="19" t="s">
        <v>68</v>
      </c>
      <c r="D18" s="66">
        <f>(29-14.2)/14.2</f>
        <v>1.0422535211267607</v>
      </c>
      <c r="E18" s="2">
        <v>0.24</v>
      </c>
      <c r="F18" s="109">
        <f t="shared" si="0"/>
        <v>0.29333333333333333</v>
      </c>
      <c r="G18" s="2"/>
      <c r="H18" s="2"/>
      <c r="I18" s="5"/>
      <c r="J18" s="5"/>
      <c r="K18" s="5"/>
      <c r="L18" s="19" t="s">
        <v>195</v>
      </c>
      <c r="M18" s="75">
        <v>0</v>
      </c>
      <c r="N18" s="3" t="s">
        <v>191</v>
      </c>
      <c r="O18" s="3"/>
      <c r="P18" s="3" t="s">
        <v>189</v>
      </c>
      <c r="Q18" s="58" t="s">
        <v>186</v>
      </c>
    </row>
    <row r="19" spans="1:17" ht="12.75">
      <c r="A19" s="2">
        <v>200</v>
      </c>
      <c r="B19" s="122" t="s">
        <v>184</v>
      </c>
      <c r="C19" s="19" t="s">
        <v>68</v>
      </c>
      <c r="D19" s="66">
        <f>(25-15.8)/15.8</f>
        <v>0.5822784810126581</v>
      </c>
      <c r="E19" s="2">
        <v>0.27</v>
      </c>
      <c r="F19" s="109">
        <f t="shared" si="0"/>
        <v>0.33000000000000007</v>
      </c>
      <c r="G19" s="2"/>
      <c r="H19" s="2"/>
      <c r="I19" s="5"/>
      <c r="J19" s="5"/>
      <c r="K19" s="5"/>
      <c r="L19" s="19" t="s">
        <v>194</v>
      </c>
      <c r="M19" s="75">
        <v>0</v>
      </c>
      <c r="N19" s="3" t="s">
        <v>192</v>
      </c>
      <c r="O19" s="3"/>
      <c r="P19" s="3" t="s">
        <v>189</v>
      </c>
      <c r="Q19" s="58" t="s">
        <v>186</v>
      </c>
    </row>
    <row r="20" spans="1:17" ht="12.75">
      <c r="A20" s="2">
        <v>188</v>
      </c>
      <c r="B20" s="6">
        <v>133</v>
      </c>
      <c r="C20" s="19" t="s">
        <v>185</v>
      </c>
      <c r="D20" s="66">
        <v>1.047</v>
      </c>
      <c r="E20" s="109">
        <v>0.4</v>
      </c>
      <c r="F20" s="109">
        <f t="shared" si="0"/>
        <v>0.48888888888888893</v>
      </c>
      <c r="G20" s="2"/>
      <c r="H20" s="2"/>
      <c r="I20" s="5"/>
      <c r="J20" s="5"/>
      <c r="K20" s="5"/>
      <c r="L20" s="19">
        <v>12.5</v>
      </c>
      <c r="M20" s="75">
        <v>0.12</v>
      </c>
      <c r="N20" s="3" t="s">
        <v>210</v>
      </c>
      <c r="O20" s="128">
        <v>36161</v>
      </c>
      <c r="P20" s="3" t="s">
        <v>209</v>
      </c>
      <c r="Q20" s="58" t="s">
        <v>208</v>
      </c>
    </row>
    <row r="21" spans="1:19" ht="13.5" thickBot="1">
      <c r="A21" s="54">
        <v>190</v>
      </c>
      <c r="B21" s="144"/>
      <c r="C21" s="55" t="s">
        <v>185</v>
      </c>
      <c r="D21" s="70">
        <f>(14.42)/(44-14.2)</f>
        <v>0.48389261744966444</v>
      </c>
      <c r="E21" s="145">
        <v>0.4507</v>
      </c>
      <c r="F21" s="145">
        <f t="shared" si="0"/>
        <v>0.5508555555555555</v>
      </c>
      <c r="G21" s="54"/>
      <c r="H21" s="54"/>
      <c r="I21" s="146"/>
      <c r="J21" s="146"/>
      <c r="K21" s="146"/>
      <c r="L21" s="55"/>
      <c r="M21" s="147"/>
      <c r="N21" s="56"/>
      <c r="O21" s="148">
        <v>35278</v>
      </c>
      <c r="P21" s="56" t="s">
        <v>212</v>
      </c>
      <c r="Q21" s="149" t="s">
        <v>211</v>
      </c>
      <c r="R21" s="84"/>
      <c r="S21" s="84"/>
    </row>
    <row r="22" spans="1:17" ht="13.5" thickTop="1">
      <c r="A22" s="2"/>
      <c r="B22" s="6"/>
      <c r="C22" s="19"/>
      <c r="D22" s="66"/>
      <c r="E22" s="109"/>
      <c r="F22" s="109"/>
      <c r="G22" s="2"/>
      <c r="H22" s="2"/>
      <c r="I22" s="5"/>
      <c r="J22" s="5"/>
      <c r="K22" s="5"/>
      <c r="L22" s="19"/>
      <c r="M22" s="75"/>
      <c r="N22" s="3"/>
      <c r="O22" s="128"/>
      <c r="P22" s="3"/>
      <c r="Q22" s="58"/>
    </row>
    <row r="23" ht="12.75">
      <c r="A23" s="108" t="s">
        <v>236</v>
      </c>
    </row>
    <row r="24" spans="1:17" ht="12.75">
      <c r="A24" s="2">
        <f>85*1.8+32</f>
        <v>185</v>
      </c>
      <c r="B24" s="19">
        <f>(85-12)*1.8+32</f>
        <v>163.4</v>
      </c>
      <c r="C24" s="19" t="s">
        <v>115</v>
      </c>
      <c r="D24" s="2">
        <v>103</v>
      </c>
      <c r="E24" s="2">
        <v>3.44</v>
      </c>
      <c r="F24" s="109">
        <f>44/36*E24</f>
        <v>4.204444444444444</v>
      </c>
      <c r="G24" s="2"/>
      <c r="H24" s="2"/>
      <c r="I24" s="2"/>
      <c r="J24" s="2"/>
      <c r="K24" s="2"/>
      <c r="L24" s="2">
        <f>99+59/60</f>
        <v>99.98333333333333</v>
      </c>
      <c r="M24" s="66">
        <v>0.07</v>
      </c>
      <c r="P24" s="58"/>
      <c r="Q24" s="58" t="s">
        <v>347</v>
      </c>
    </row>
    <row r="25" spans="1:17" ht="12.75">
      <c r="A25" s="2">
        <f>85*1.8+32</f>
        <v>185</v>
      </c>
      <c r="B25" s="19">
        <f>(85-12)*1.8+32</f>
        <v>163.4</v>
      </c>
      <c r="C25" s="19" t="s">
        <v>115</v>
      </c>
      <c r="D25" s="2">
        <v>106</v>
      </c>
      <c r="E25" s="16">
        <v>4.18</v>
      </c>
      <c r="F25" s="143">
        <f>44/36*E25</f>
        <v>5.108888888888889</v>
      </c>
      <c r="G25" s="2"/>
      <c r="H25" s="2"/>
      <c r="I25" s="2"/>
      <c r="J25" s="2"/>
      <c r="K25" s="2"/>
      <c r="L25" s="2">
        <f>123.78</f>
        <v>123.78</v>
      </c>
      <c r="M25" s="66">
        <v>0.07</v>
      </c>
      <c r="P25" s="58"/>
      <c r="Q25" s="58" t="s">
        <v>347</v>
      </c>
    </row>
    <row r="26" spans="1:17" ht="12.75">
      <c r="A26" s="2"/>
      <c r="B26" s="19"/>
      <c r="C26" s="19"/>
      <c r="D26" s="2"/>
      <c r="E26" s="151" t="s">
        <v>235</v>
      </c>
      <c r="F26" s="109">
        <f>AVERAGE(F24:F25)</f>
        <v>4.656666666666666</v>
      </c>
      <c r="G26" s="2"/>
      <c r="H26" s="2"/>
      <c r="I26" s="2"/>
      <c r="J26" s="2"/>
      <c r="K26" s="2"/>
      <c r="L26" s="2"/>
      <c r="M26" s="66"/>
      <c r="P26" s="58"/>
      <c r="Q26" s="58"/>
    </row>
    <row r="27" spans="1:17" ht="12.75">
      <c r="A27" s="2"/>
      <c r="B27" s="19"/>
      <c r="C27" s="19"/>
      <c r="D27" s="2"/>
      <c r="E27" s="150" t="s">
        <v>238</v>
      </c>
      <c r="F27" s="95">
        <f>0.00901*A25-1.3</f>
        <v>0.3668500000000001</v>
      </c>
      <c r="G27" s="2"/>
      <c r="H27" s="2"/>
      <c r="I27" s="2"/>
      <c r="J27" s="2"/>
      <c r="K27" s="2"/>
      <c r="L27" s="2"/>
      <c r="M27" s="66"/>
      <c r="P27" s="58"/>
      <c r="Q27" s="58"/>
    </row>
    <row r="28" spans="5:6" ht="12.75">
      <c r="E28" s="151" t="s">
        <v>239</v>
      </c>
      <c r="F28" s="152">
        <f>F26/F27</f>
        <v>12.693653173413288</v>
      </c>
    </row>
    <row r="29" ht="12.75"/>
    <row r="96" ht="12.75">
      <c r="A96" s="108" t="s">
        <v>169</v>
      </c>
    </row>
    <row r="98" spans="3:13" ht="12.75">
      <c r="C98" s="296" t="s">
        <v>8</v>
      </c>
      <c r="D98" s="297"/>
      <c r="E98" s="297"/>
      <c r="F98" s="297"/>
      <c r="G98" s="297"/>
      <c r="H98" s="297"/>
      <c r="I98" s="297"/>
      <c r="J98" s="297"/>
      <c r="K98" s="297"/>
      <c r="L98" s="297"/>
      <c r="M98" s="298"/>
    </row>
    <row r="99" spans="1:18" s="13" customFormat="1" ht="12.75">
      <c r="A99" s="24" t="s">
        <v>9</v>
      </c>
      <c r="B99" s="25" t="s">
        <v>10</v>
      </c>
      <c r="C99" s="25" t="s">
        <v>11</v>
      </c>
      <c r="D99" s="24" t="s">
        <v>12</v>
      </c>
      <c r="E99" s="24" t="s">
        <v>13</v>
      </c>
      <c r="F99" s="24" t="s">
        <v>14</v>
      </c>
      <c r="G99" s="24" t="s">
        <v>15</v>
      </c>
      <c r="H99" s="37" t="s">
        <v>5</v>
      </c>
      <c r="I99" s="37" t="s">
        <v>16</v>
      </c>
      <c r="J99" s="24" t="s">
        <v>17</v>
      </c>
      <c r="K99" s="24" t="s">
        <v>18</v>
      </c>
      <c r="L99" s="24" t="s">
        <v>6</v>
      </c>
      <c r="M99" s="26" t="s">
        <v>19</v>
      </c>
      <c r="N99" s="24" t="s">
        <v>20</v>
      </c>
      <c r="O99" s="24"/>
      <c r="P99" s="25" t="s">
        <v>21</v>
      </c>
      <c r="Q99" s="25" t="s">
        <v>22</v>
      </c>
      <c r="R99" s="25" t="s">
        <v>23</v>
      </c>
    </row>
    <row r="100" spans="1:18" ht="13.5" hidden="1" thickBot="1">
      <c r="A100" s="27" t="s">
        <v>24</v>
      </c>
      <c r="B100" s="27"/>
      <c r="C100" s="28">
        <v>2.32</v>
      </c>
      <c r="D100" s="27"/>
      <c r="E100" s="27">
        <v>0.62</v>
      </c>
      <c r="F100" s="27">
        <v>0.05</v>
      </c>
      <c r="G100" s="27"/>
      <c r="H100" s="38"/>
      <c r="I100" s="38"/>
      <c r="J100" s="27">
        <v>0.006</v>
      </c>
      <c r="K100" s="27"/>
      <c r="L100" s="27"/>
      <c r="M100" s="29"/>
      <c r="N100" s="27">
        <v>1994</v>
      </c>
      <c r="O100" s="27"/>
      <c r="P100" s="27"/>
      <c r="Q100" s="27" t="s">
        <v>25</v>
      </c>
      <c r="R100" s="27" t="s">
        <v>26</v>
      </c>
    </row>
    <row r="101" spans="1:17" ht="12.75">
      <c r="A101" t="s">
        <v>27</v>
      </c>
      <c r="B101">
        <v>8</v>
      </c>
      <c r="C101" s="18"/>
      <c r="D101" s="10"/>
      <c r="E101" s="10"/>
      <c r="F101" s="10"/>
      <c r="G101" s="10"/>
      <c r="H101" s="21">
        <v>0.26</v>
      </c>
      <c r="I101" s="21"/>
      <c r="J101" s="10"/>
      <c r="K101" s="10"/>
      <c r="L101" s="10"/>
      <c r="M101" s="11"/>
      <c r="N101">
        <v>1996</v>
      </c>
      <c r="P101" t="s">
        <v>28</v>
      </c>
      <c r="Q101" t="s">
        <v>29</v>
      </c>
    </row>
    <row r="102" spans="2:17" ht="12.75">
      <c r="B102">
        <v>12</v>
      </c>
      <c r="C102" s="18"/>
      <c r="D102" s="10"/>
      <c r="E102" s="10"/>
      <c r="F102" s="10"/>
      <c r="G102" s="10"/>
      <c r="H102" s="21">
        <v>0.24</v>
      </c>
      <c r="I102" s="21"/>
      <c r="J102" s="10"/>
      <c r="K102" s="10"/>
      <c r="L102" s="10"/>
      <c r="M102" s="11"/>
      <c r="N102">
        <v>1996</v>
      </c>
      <c r="P102" t="s">
        <v>28</v>
      </c>
      <c r="Q102" t="s">
        <v>29</v>
      </c>
    </row>
    <row r="103" spans="2:17" ht="12.75">
      <c r="B103">
        <v>16</v>
      </c>
      <c r="C103" s="18"/>
      <c r="D103" s="10"/>
      <c r="E103" s="10"/>
      <c r="F103" s="10"/>
      <c r="G103" s="10"/>
      <c r="H103" s="21">
        <v>0.2</v>
      </c>
      <c r="I103" s="21"/>
      <c r="J103" s="10"/>
      <c r="K103" s="10"/>
      <c r="L103" s="10"/>
      <c r="M103" s="11"/>
      <c r="N103">
        <v>1996</v>
      </c>
      <c r="P103" t="s">
        <v>28</v>
      </c>
      <c r="Q103" t="s">
        <v>29</v>
      </c>
    </row>
    <row r="104" spans="2:17" ht="12.75">
      <c r="B104">
        <v>20</v>
      </c>
      <c r="C104" s="18"/>
      <c r="D104" s="10"/>
      <c r="E104" s="10"/>
      <c r="F104" s="10"/>
      <c r="G104" s="10"/>
      <c r="H104" s="21">
        <v>0.14</v>
      </c>
      <c r="I104" s="21"/>
      <c r="J104" s="10"/>
      <c r="K104" s="10"/>
      <c r="L104" s="10"/>
      <c r="M104" s="11"/>
      <c r="N104">
        <v>1996</v>
      </c>
      <c r="P104" t="s">
        <v>28</v>
      </c>
      <c r="Q104" t="s">
        <v>29</v>
      </c>
    </row>
    <row r="105" spans="2:17" ht="12.75">
      <c r="B105">
        <v>30</v>
      </c>
      <c r="C105" s="18"/>
      <c r="D105" s="10"/>
      <c r="E105" s="10"/>
      <c r="F105" s="10"/>
      <c r="G105" s="10"/>
      <c r="H105" s="21">
        <v>0.01</v>
      </c>
      <c r="I105" s="21"/>
      <c r="J105" s="10"/>
      <c r="K105" s="10"/>
      <c r="L105" s="10"/>
      <c r="M105" s="11"/>
      <c r="N105">
        <v>1996</v>
      </c>
      <c r="P105" t="s">
        <v>28</v>
      </c>
      <c r="Q105" t="s">
        <v>29</v>
      </c>
    </row>
    <row r="106" spans="1:18" ht="13.5" thickBot="1">
      <c r="A106" s="30"/>
      <c r="B106" s="30">
        <v>40</v>
      </c>
      <c r="C106" s="31"/>
      <c r="D106" s="30"/>
      <c r="E106" s="30"/>
      <c r="F106" s="30"/>
      <c r="G106" s="30"/>
      <c r="H106" s="35">
        <v>0</v>
      </c>
      <c r="I106" s="35"/>
      <c r="J106" s="30"/>
      <c r="K106" s="30"/>
      <c r="L106" s="30"/>
      <c r="M106" s="32"/>
      <c r="N106" s="30">
        <v>1996</v>
      </c>
      <c r="O106" s="30"/>
      <c r="P106" s="30" t="s">
        <v>28</v>
      </c>
      <c r="Q106" s="30" t="s">
        <v>29</v>
      </c>
      <c r="R106" s="30"/>
    </row>
    <row r="107" spans="1:17" ht="12.75" hidden="1">
      <c r="A107" t="s">
        <v>30</v>
      </c>
      <c r="B107">
        <v>8</v>
      </c>
      <c r="C107" s="18">
        <v>0.425</v>
      </c>
      <c r="D107" s="10">
        <v>0.39</v>
      </c>
      <c r="E107" s="10">
        <v>0.31</v>
      </c>
      <c r="F107" s="10">
        <v>0.14</v>
      </c>
      <c r="G107" s="10"/>
      <c r="H107" s="21"/>
      <c r="I107" s="21"/>
      <c r="J107" s="10"/>
      <c r="K107" s="10"/>
      <c r="L107" s="10"/>
      <c r="M107" s="11"/>
      <c r="N107" s="33">
        <v>35462</v>
      </c>
      <c r="O107" s="33"/>
      <c r="P107" t="s">
        <v>28</v>
      </c>
      <c r="Q107" t="s">
        <v>29</v>
      </c>
    </row>
    <row r="108" spans="2:17" ht="12.75" hidden="1">
      <c r="B108">
        <v>12</v>
      </c>
      <c r="C108" s="18">
        <v>0.32</v>
      </c>
      <c r="D108" s="10">
        <v>0.26</v>
      </c>
      <c r="E108" s="10">
        <v>0.25</v>
      </c>
      <c r="F108" s="10">
        <v>0.11</v>
      </c>
      <c r="G108" s="10"/>
      <c r="H108" s="21"/>
      <c r="I108" s="21"/>
      <c r="J108" s="10"/>
      <c r="K108" s="10"/>
      <c r="L108" s="10"/>
      <c r="N108" s="33">
        <v>35462</v>
      </c>
      <c r="O108" s="33"/>
      <c r="P108" t="s">
        <v>28</v>
      </c>
      <c r="Q108" t="s">
        <v>29</v>
      </c>
    </row>
    <row r="109" spans="2:17" ht="12.75" hidden="1">
      <c r="B109">
        <v>16</v>
      </c>
      <c r="C109" s="18">
        <v>0.235</v>
      </c>
      <c r="D109" s="10">
        <v>0.12</v>
      </c>
      <c r="E109" s="10">
        <v>0.18</v>
      </c>
      <c r="F109" s="10">
        <v>0.09</v>
      </c>
      <c r="G109" s="10"/>
      <c r="H109" s="21"/>
      <c r="I109" s="21"/>
      <c r="J109" s="10"/>
      <c r="K109" s="10"/>
      <c r="L109" s="10"/>
      <c r="M109" s="11"/>
      <c r="N109" s="33">
        <v>35462</v>
      </c>
      <c r="O109" s="33"/>
      <c r="P109" t="s">
        <v>28</v>
      </c>
      <c r="Q109" t="s">
        <v>29</v>
      </c>
    </row>
    <row r="110" spans="2:17" ht="12.75" hidden="1">
      <c r="B110">
        <v>20</v>
      </c>
      <c r="C110" s="18">
        <v>0.14</v>
      </c>
      <c r="D110" s="21">
        <v>0.03</v>
      </c>
      <c r="E110" s="21">
        <v>0.1</v>
      </c>
      <c r="F110" s="21">
        <v>0.07</v>
      </c>
      <c r="G110" s="10"/>
      <c r="H110" s="21"/>
      <c r="I110" s="21"/>
      <c r="J110" s="10"/>
      <c r="K110" s="10"/>
      <c r="L110" s="10"/>
      <c r="M110" s="11"/>
      <c r="N110" s="33">
        <v>35462</v>
      </c>
      <c r="O110" s="33"/>
      <c r="P110" t="s">
        <v>28</v>
      </c>
      <c r="Q110" t="s">
        <v>29</v>
      </c>
    </row>
    <row r="111" spans="2:17" ht="12.75" hidden="1">
      <c r="B111">
        <v>30</v>
      </c>
      <c r="C111" s="18">
        <v>0</v>
      </c>
      <c r="D111" s="21">
        <v>0</v>
      </c>
      <c r="E111" s="21">
        <v>0</v>
      </c>
      <c r="F111" s="21">
        <v>0.035</v>
      </c>
      <c r="G111" s="10"/>
      <c r="H111" s="21"/>
      <c r="I111" s="21"/>
      <c r="J111" s="10"/>
      <c r="K111" s="10"/>
      <c r="L111" s="10"/>
      <c r="M111" s="11"/>
      <c r="N111" s="33">
        <v>35462</v>
      </c>
      <c r="O111" s="33"/>
      <c r="P111" t="s">
        <v>28</v>
      </c>
      <c r="Q111" t="s">
        <v>29</v>
      </c>
    </row>
    <row r="112" spans="1:18" ht="13.5" hidden="1" thickBot="1">
      <c r="A112" s="30"/>
      <c r="B112" s="30">
        <v>40</v>
      </c>
      <c r="C112" s="31">
        <v>0</v>
      </c>
      <c r="D112" s="30">
        <v>0</v>
      </c>
      <c r="E112" s="30">
        <v>0</v>
      </c>
      <c r="F112" s="30">
        <v>0.005</v>
      </c>
      <c r="G112" s="30"/>
      <c r="H112" s="35"/>
      <c r="I112" s="35"/>
      <c r="J112" s="30"/>
      <c r="K112" s="30"/>
      <c r="L112" s="30"/>
      <c r="M112" s="32"/>
      <c r="N112" s="34">
        <v>35462</v>
      </c>
      <c r="O112" s="34"/>
      <c r="P112" s="30" t="s">
        <v>28</v>
      </c>
      <c r="Q112" s="30" t="s">
        <v>29</v>
      </c>
      <c r="R112" s="30"/>
    </row>
    <row r="113" spans="1:17" ht="12.75" hidden="1">
      <c r="A113" t="s">
        <v>31</v>
      </c>
      <c r="B113">
        <v>8</v>
      </c>
      <c r="C113" s="18"/>
      <c r="D113" s="10"/>
      <c r="E113" s="10"/>
      <c r="F113" s="10"/>
      <c r="G113" s="10"/>
      <c r="H113" s="21"/>
      <c r="I113" s="21"/>
      <c r="J113" s="10"/>
      <c r="K113" s="10"/>
      <c r="L113" s="10"/>
      <c r="M113" s="11"/>
      <c r="N113" s="33">
        <v>36192</v>
      </c>
      <c r="O113" s="33"/>
      <c r="P113" t="s">
        <v>28</v>
      </c>
      <c r="Q113" t="s">
        <v>29</v>
      </c>
    </row>
    <row r="114" spans="2:17" ht="12.75" hidden="1">
      <c r="B114">
        <v>12</v>
      </c>
      <c r="C114" s="18"/>
      <c r="D114" s="10"/>
      <c r="E114" s="10"/>
      <c r="F114" s="10">
        <v>0.159</v>
      </c>
      <c r="G114" s="10">
        <v>0.073</v>
      </c>
      <c r="H114" s="21"/>
      <c r="I114" s="21"/>
      <c r="J114" s="10"/>
      <c r="K114" s="10"/>
      <c r="L114" s="10"/>
      <c r="N114" s="33">
        <v>36192</v>
      </c>
      <c r="O114" s="33"/>
      <c r="P114" t="s">
        <v>28</v>
      </c>
      <c r="Q114" t="s">
        <v>29</v>
      </c>
    </row>
    <row r="115" spans="2:17" ht="12.75" hidden="1">
      <c r="B115">
        <v>16</v>
      </c>
      <c r="C115" s="18"/>
      <c r="D115" s="10"/>
      <c r="E115" s="10"/>
      <c r="F115" s="10"/>
      <c r="G115" s="10"/>
      <c r="H115" s="21"/>
      <c r="I115" s="21"/>
      <c r="J115" s="10"/>
      <c r="K115" s="10"/>
      <c r="L115" s="10"/>
      <c r="M115" s="11"/>
      <c r="N115" s="33">
        <v>36192</v>
      </c>
      <c r="O115" s="33"/>
      <c r="P115" t="s">
        <v>28</v>
      </c>
      <c r="Q115" t="s">
        <v>29</v>
      </c>
    </row>
    <row r="116" spans="2:17" ht="12.75" hidden="1">
      <c r="B116">
        <v>20</v>
      </c>
      <c r="C116" s="18"/>
      <c r="D116" s="10"/>
      <c r="E116" s="10"/>
      <c r="F116" s="10"/>
      <c r="G116" s="10"/>
      <c r="H116" s="21"/>
      <c r="I116" s="21"/>
      <c r="J116" s="10"/>
      <c r="K116" s="10"/>
      <c r="L116" s="10"/>
      <c r="M116" s="11"/>
      <c r="N116" s="33">
        <v>36192</v>
      </c>
      <c r="O116" s="33"/>
      <c r="P116" t="s">
        <v>28</v>
      </c>
      <c r="Q116" t="s">
        <v>29</v>
      </c>
    </row>
    <row r="117" spans="2:17" ht="12.75" hidden="1">
      <c r="B117">
        <v>30</v>
      </c>
      <c r="C117" s="18"/>
      <c r="D117" s="10"/>
      <c r="E117" s="10"/>
      <c r="F117" s="10"/>
      <c r="G117" s="10"/>
      <c r="H117" s="21"/>
      <c r="I117" s="21"/>
      <c r="J117" s="10"/>
      <c r="K117" s="10"/>
      <c r="L117" s="10"/>
      <c r="M117" s="11"/>
      <c r="N117" s="33">
        <v>36192</v>
      </c>
      <c r="O117" s="33"/>
      <c r="P117" t="s">
        <v>28</v>
      </c>
      <c r="Q117" t="s">
        <v>29</v>
      </c>
    </row>
    <row r="118" spans="1:18" ht="13.5" hidden="1" thickBot="1">
      <c r="A118" s="30"/>
      <c r="B118" s="30">
        <v>40</v>
      </c>
      <c r="C118" s="31"/>
      <c r="D118" s="30"/>
      <c r="E118" s="30"/>
      <c r="F118" s="30"/>
      <c r="G118" s="30"/>
      <c r="H118" s="35"/>
      <c r="I118" s="35"/>
      <c r="J118" s="30"/>
      <c r="K118" s="30"/>
      <c r="L118" s="30"/>
      <c r="M118" s="32"/>
      <c r="N118" s="34">
        <v>36192</v>
      </c>
      <c r="O118" s="34"/>
      <c r="P118" s="30" t="s">
        <v>28</v>
      </c>
      <c r="Q118" s="30" t="s">
        <v>29</v>
      </c>
      <c r="R118" s="30"/>
    </row>
    <row r="119" spans="1:18" ht="12.75">
      <c r="A119" t="s">
        <v>32</v>
      </c>
      <c r="B119">
        <v>8</v>
      </c>
      <c r="C119" s="18"/>
      <c r="D119" s="10"/>
      <c r="E119" s="10"/>
      <c r="F119" s="10"/>
      <c r="G119" s="10"/>
      <c r="H119" s="21">
        <v>0.096</v>
      </c>
      <c r="I119" s="21">
        <v>0.12</v>
      </c>
      <c r="J119" s="10"/>
      <c r="K119" s="10"/>
      <c r="L119" s="10">
        <v>0.11</v>
      </c>
      <c r="M119" s="11"/>
      <c r="N119">
        <v>1998</v>
      </c>
      <c r="P119" t="s">
        <v>28</v>
      </c>
      <c r="Q119" t="s">
        <v>29</v>
      </c>
      <c r="R119" t="s">
        <v>33</v>
      </c>
    </row>
    <row r="120" spans="1:17" ht="12.75">
      <c r="A120" t="s">
        <v>34</v>
      </c>
      <c r="B120">
        <v>12</v>
      </c>
      <c r="C120" s="18"/>
      <c r="D120" s="10"/>
      <c r="E120" s="10"/>
      <c r="F120" s="10"/>
      <c r="G120" s="10"/>
      <c r="H120" s="21">
        <v>0.077</v>
      </c>
      <c r="I120" s="21">
        <v>0.095</v>
      </c>
      <c r="J120" s="10"/>
      <c r="K120" s="10"/>
      <c r="L120" s="10">
        <v>0.095</v>
      </c>
      <c r="M120" s="11"/>
      <c r="N120">
        <v>1998</v>
      </c>
      <c r="P120" t="s">
        <v>28</v>
      </c>
      <c r="Q120" t="s">
        <v>29</v>
      </c>
    </row>
    <row r="121" spans="2:17" ht="12.75">
      <c r="B121">
        <v>16</v>
      </c>
      <c r="C121" s="18"/>
      <c r="D121" s="10"/>
      <c r="E121" s="10"/>
      <c r="F121" s="10"/>
      <c r="G121" s="10"/>
      <c r="H121" s="21">
        <v>0.065</v>
      </c>
      <c r="I121" s="21">
        <v>0.08</v>
      </c>
      <c r="J121" s="10"/>
      <c r="K121" s="10"/>
      <c r="L121" s="10">
        <v>0.075</v>
      </c>
      <c r="M121" s="11"/>
      <c r="N121">
        <v>1998</v>
      </c>
      <c r="P121" t="s">
        <v>28</v>
      </c>
      <c r="Q121" t="s">
        <v>29</v>
      </c>
    </row>
    <row r="122" spans="2:17" ht="12.75">
      <c r="B122">
        <v>20</v>
      </c>
      <c r="C122" s="18"/>
      <c r="D122" s="10"/>
      <c r="E122" s="10"/>
      <c r="F122" s="10"/>
      <c r="G122" s="10"/>
      <c r="H122" s="21">
        <v>0.054</v>
      </c>
      <c r="I122" s="21">
        <v>0.07</v>
      </c>
      <c r="J122" s="10"/>
      <c r="K122" s="10"/>
      <c r="L122" s="10">
        <v>0.06</v>
      </c>
      <c r="M122" s="11"/>
      <c r="N122">
        <v>1998</v>
      </c>
      <c r="P122" t="s">
        <v>28</v>
      </c>
      <c r="Q122" t="s">
        <v>29</v>
      </c>
    </row>
    <row r="123" spans="2:17" ht="12.75">
      <c r="B123">
        <v>30</v>
      </c>
      <c r="C123" s="18"/>
      <c r="D123" s="10"/>
      <c r="E123" s="10"/>
      <c r="F123" s="10"/>
      <c r="G123" s="10"/>
      <c r="H123" s="21">
        <v>0.034</v>
      </c>
      <c r="I123" s="21">
        <v>0.044</v>
      </c>
      <c r="J123" s="10"/>
      <c r="K123" s="10"/>
      <c r="L123" s="10">
        <v>0.035</v>
      </c>
      <c r="M123" s="11"/>
      <c r="N123">
        <v>1998</v>
      </c>
      <c r="P123" t="s">
        <v>28</v>
      </c>
      <c r="Q123" t="s">
        <v>29</v>
      </c>
    </row>
    <row r="124" spans="1:18" ht="13.5" thickBot="1">
      <c r="A124" s="30"/>
      <c r="B124" s="30">
        <v>40</v>
      </c>
      <c r="C124" s="31"/>
      <c r="D124" s="30"/>
      <c r="E124" s="30"/>
      <c r="F124" s="30"/>
      <c r="G124" s="30"/>
      <c r="H124" s="35">
        <v>0.017</v>
      </c>
      <c r="I124" s="35">
        <v>0.02</v>
      </c>
      <c r="J124" s="30"/>
      <c r="K124" s="30"/>
      <c r="L124" s="30">
        <v>0.01</v>
      </c>
      <c r="M124" s="32"/>
      <c r="N124" s="30">
        <v>1998</v>
      </c>
      <c r="O124" s="30"/>
      <c r="P124" s="30" t="s">
        <v>28</v>
      </c>
      <c r="Q124" s="30" t="s">
        <v>29</v>
      </c>
      <c r="R124" s="30"/>
    </row>
    <row r="125" spans="1:17" ht="12.75">
      <c r="A125" t="s">
        <v>35</v>
      </c>
      <c r="B125">
        <v>8</v>
      </c>
      <c r="C125" s="18"/>
      <c r="D125" s="10"/>
      <c r="E125" s="10"/>
      <c r="F125" s="10"/>
      <c r="G125" s="10"/>
      <c r="H125" s="21"/>
      <c r="I125" s="21"/>
      <c r="J125" s="10"/>
      <c r="K125" s="10"/>
      <c r="L125" s="10"/>
      <c r="M125" s="11"/>
      <c r="N125">
        <v>1999</v>
      </c>
      <c r="P125" t="s">
        <v>28</v>
      </c>
      <c r="Q125" t="s">
        <v>29</v>
      </c>
    </row>
    <row r="126" spans="1:17" ht="12.75">
      <c r="A126" t="s">
        <v>34</v>
      </c>
      <c r="B126">
        <v>12</v>
      </c>
      <c r="C126" s="18"/>
      <c r="D126" s="10"/>
      <c r="E126" s="10"/>
      <c r="F126" s="10"/>
      <c r="G126" s="10"/>
      <c r="H126" s="21">
        <v>0.41</v>
      </c>
      <c r="I126" s="21"/>
      <c r="J126" s="10"/>
      <c r="K126" s="10"/>
      <c r="L126" s="10"/>
      <c r="M126" s="11"/>
      <c r="N126">
        <v>1999</v>
      </c>
      <c r="P126" t="s">
        <v>28</v>
      </c>
      <c r="Q126" t="s">
        <v>29</v>
      </c>
    </row>
    <row r="127" spans="2:17" ht="12.75">
      <c r="B127">
        <v>16</v>
      </c>
      <c r="C127" s="18"/>
      <c r="D127" s="10"/>
      <c r="E127" s="10"/>
      <c r="F127" s="10"/>
      <c r="G127" s="10"/>
      <c r="H127" s="21">
        <v>0.36</v>
      </c>
      <c r="I127" s="21"/>
      <c r="J127" s="10"/>
      <c r="K127" s="10"/>
      <c r="L127" s="10"/>
      <c r="M127" s="11"/>
      <c r="N127">
        <v>1999</v>
      </c>
      <c r="P127" t="s">
        <v>28</v>
      </c>
      <c r="Q127" t="s">
        <v>29</v>
      </c>
    </row>
    <row r="128" spans="2:17" ht="12.75">
      <c r="B128">
        <v>20</v>
      </c>
      <c r="C128" s="18"/>
      <c r="D128" s="10"/>
      <c r="E128" s="10"/>
      <c r="F128" s="10"/>
      <c r="G128" s="10"/>
      <c r="H128" s="21">
        <v>0.31</v>
      </c>
      <c r="I128" s="21"/>
      <c r="J128" s="10"/>
      <c r="K128" s="10"/>
      <c r="L128" s="10"/>
      <c r="M128" s="11"/>
      <c r="N128">
        <v>1999</v>
      </c>
      <c r="P128" t="s">
        <v>28</v>
      </c>
      <c r="Q128" t="s">
        <v>29</v>
      </c>
    </row>
    <row r="129" spans="2:17" ht="12.75">
      <c r="B129">
        <v>30</v>
      </c>
      <c r="C129" s="18"/>
      <c r="D129" s="10"/>
      <c r="E129" s="10"/>
      <c r="F129" s="10"/>
      <c r="G129" s="10"/>
      <c r="H129" s="21">
        <v>0.2</v>
      </c>
      <c r="I129" s="21"/>
      <c r="J129" s="10"/>
      <c r="K129" s="10"/>
      <c r="L129" s="10"/>
      <c r="M129" s="11"/>
      <c r="N129">
        <v>1999</v>
      </c>
      <c r="P129" t="s">
        <v>28</v>
      </c>
      <c r="Q129" t="s">
        <v>29</v>
      </c>
    </row>
    <row r="130" spans="1:18" ht="13.5" thickBot="1">
      <c r="A130" s="30"/>
      <c r="B130" s="30">
        <v>40</v>
      </c>
      <c r="C130" s="31"/>
      <c r="D130" s="30"/>
      <c r="E130" s="30"/>
      <c r="F130" s="30"/>
      <c r="G130" s="30"/>
      <c r="H130" s="35">
        <v>0.1</v>
      </c>
      <c r="I130" s="35"/>
      <c r="J130" s="30"/>
      <c r="K130" s="30"/>
      <c r="L130" s="30"/>
      <c r="M130" s="32"/>
      <c r="N130" s="30">
        <v>1999</v>
      </c>
      <c r="O130" s="30"/>
      <c r="P130" s="30" t="s">
        <v>28</v>
      </c>
      <c r="Q130" s="30" t="s">
        <v>29</v>
      </c>
      <c r="R130" s="30"/>
    </row>
    <row r="131" spans="1:18" ht="12.75" hidden="1">
      <c r="A131" s="10" t="s">
        <v>36</v>
      </c>
      <c r="B131" s="21">
        <v>15</v>
      </c>
      <c r="C131" s="10"/>
      <c r="D131" s="10"/>
      <c r="E131" s="10"/>
      <c r="F131" s="10">
        <v>0.17</v>
      </c>
      <c r="G131" s="10"/>
      <c r="H131" s="21"/>
      <c r="I131" s="21"/>
      <c r="J131" s="10"/>
      <c r="K131" s="10"/>
      <c r="L131" s="10"/>
      <c r="M131" s="10"/>
      <c r="N131" s="33">
        <v>37288</v>
      </c>
      <c r="O131" s="33"/>
      <c r="P131" s="21" t="s">
        <v>37</v>
      </c>
      <c r="Q131" s="10"/>
      <c r="R131" s="10"/>
    </row>
    <row r="132" spans="1:18" ht="12.75" hidden="1">
      <c r="A132" s="10" t="s">
        <v>38</v>
      </c>
      <c r="B132" s="21">
        <v>15</v>
      </c>
      <c r="C132" s="10"/>
      <c r="D132" s="10"/>
      <c r="E132" s="10"/>
      <c r="F132" s="10">
        <v>0.07</v>
      </c>
      <c r="G132" s="10"/>
      <c r="H132" s="21"/>
      <c r="I132" s="21"/>
      <c r="J132" s="10"/>
      <c r="K132" s="10"/>
      <c r="L132" s="10"/>
      <c r="M132" s="10"/>
      <c r="N132" s="33">
        <v>37288</v>
      </c>
      <c r="O132" s="33"/>
      <c r="P132" s="21" t="s">
        <v>37</v>
      </c>
      <c r="Q132" s="10"/>
      <c r="R132" s="10"/>
    </row>
    <row r="133" spans="1:18" ht="13.5" hidden="1" thickBot="1">
      <c r="A133" s="30"/>
      <c r="B133" s="35">
        <v>15</v>
      </c>
      <c r="C133" s="30"/>
      <c r="D133" s="30"/>
      <c r="E133" s="30"/>
      <c r="F133" s="30">
        <v>0.12</v>
      </c>
      <c r="G133" s="30"/>
      <c r="H133" s="35"/>
      <c r="I133" s="35"/>
      <c r="J133" s="30"/>
      <c r="K133" s="30"/>
      <c r="L133" s="30"/>
      <c r="M133" s="30"/>
      <c r="N133" s="34">
        <v>37288</v>
      </c>
      <c r="O133" s="34"/>
      <c r="P133" s="35" t="s">
        <v>37</v>
      </c>
      <c r="Q133" s="30"/>
      <c r="R133" s="30"/>
    </row>
    <row r="134" spans="1:18" ht="12.75" hidden="1">
      <c r="A134" s="10" t="s">
        <v>36</v>
      </c>
      <c r="B134" s="21">
        <v>12</v>
      </c>
      <c r="C134" s="10"/>
      <c r="D134" s="10"/>
      <c r="E134" s="10"/>
      <c r="F134" s="10"/>
      <c r="G134" s="10"/>
      <c r="H134" s="21"/>
      <c r="I134" s="21"/>
      <c r="J134" s="10"/>
      <c r="K134" s="10">
        <v>0.253</v>
      </c>
      <c r="L134" s="10"/>
      <c r="M134" s="10"/>
      <c r="N134" s="33">
        <v>37653</v>
      </c>
      <c r="O134" s="33"/>
      <c r="P134" s="21" t="s">
        <v>37</v>
      </c>
      <c r="Q134" s="10"/>
      <c r="R134" s="10"/>
    </row>
    <row r="135" spans="1:18" ht="12.75" hidden="1">
      <c r="A135" s="10" t="s">
        <v>38</v>
      </c>
      <c r="B135" s="21">
        <v>14</v>
      </c>
      <c r="C135" s="10"/>
      <c r="D135" s="10"/>
      <c r="E135" s="10"/>
      <c r="F135" s="10"/>
      <c r="G135" s="10"/>
      <c r="H135" s="21"/>
      <c r="I135" s="21"/>
      <c r="J135" s="10"/>
      <c r="K135" s="10">
        <v>0.245</v>
      </c>
      <c r="L135" s="10"/>
      <c r="M135" s="10"/>
      <c r="N135" s="33">
        <v>37653</v>
      </c>
      <c r="O135" s="33"/>
      <c r="P135" s="21" t="s">
        <v>37</v>
      </c>
      <c r="Q135" s="10"/>
      <c r="R135" s="10"/>
    </row>
    <row r="136" spans="1:18" ht="12.75" hidden="1">
      <c r="A136" s="10"/>
      <c r="B136" s="21">
        <v>16</v>
      </c>
      <c r="C136" s="10"/>
      <c r="D136" s="10"/>
      <c r="E136" s="10"/>
      <c r="F136" s="10"/>
      <c r="G136" s="10"/>
      <c r="H136" s="21"/>
      <c r="I136" s="21"/>
      <c r="J136" s="10"/>
      <c r="K136" s="10">
        <v>0.237</v>
      </c>
      <c r="L136" s="10"/>
      <c r="M136" s="10"/>
      <c r="N136" s="33">
        <v>37653</v>
      </c>
      <c r="O136" s="33"/>
      <c r="P136" s="21" t="s">
        <v>37</v>
      </c>
      <c r="Q136" s="10"/>
      <c r="R136" s="10"/>
    </row>
    <row r="137" spans="1:18" ht="13.5" hidden="1" thickBot="1">
      <c r="A137" s="30"/>
      <c r="B137" s="35">
        <v>18</v>
      </c>
      <c r="C137" s="30"/>
      <c r="D137" s="30"/>
      <c r="E137" s="30"/>
      <c r="F137" s="30"/>
      <c r="G137" s="30"/>
      <c r="H137" s="35"/>
      <c r="I137" s="35"/>
      <c r="J137" s="30"/>
      <c r="K137" s="35">
        <v>0.23</v>
      </c>
      <c r="L137" s="35"/>
      <c r="M137" s="30"/>
      <c r="N137" s="34">
        <v>37653</v>
      </c>
      <c r="O137" s="34"/>
      <c r="P137" s="35" t="s">
        <v>37</v>
      </c>
      <c r="Q137" s="30"/>
      <c r="R137" s="30"/>
    </row>
    <row r="138" spans="1:18" ht="12.75" hidden="1">
      <c r="A138" s="10" t="s">
        <v>36</v>
      </c>
      <c r="B138" s="21">
        <v>12</v>
      </c>
      <c r="C138" s="10"/>
      <c r="D138" s="10"/>
      <c r="E138" s="10"/>
      <c r="F138" s="10">
        <v>0.416</v>
      </c>
      <c r="G138" s="10"/>
      <c r="H138" s="21"/>
      <c r="I138" s="21"/>
      <c r="J138" s="10"/>
      <c r="K138" s="21"/>
      <c r="L138" s="21"/>
      <c r="M138" s="10"/>
      <c r="N138" s="33">
        <v>38047</v>
      </c>
      <c r="O138" s="33"/>
      <c r="P138" s="21" t="s">
        <v>37</v>
      </c>
      <c r="Q138" s="10"/>
      <c r="R138" s="10" t="s">
        <v>39</v>
      </c>
    </row>
    <row r="139" spans="1:18" ht="12.75" hidden="1">
      <c r="A139" s="10" t="s">
        <v>38</v>
      </c>
      <c r="B139" s="21">
        <v>15</v>
      </c>
      <c r="C139" s="10"/>
      <c r="D139" s="10"/>
      <c r="E139" s="10"/>
      <c r="F139" s="10">
        <v>0.4</v>
      </c>
      <c r="G139" s="10"/>
      <c r="H139" s="21"/>
      <c r="I139" s="21"/>
      <c r="J139" s="10"/>
      <c r="K139" s="21"/>
      <c r="L139" s="21"/>
      <c r="M139" s="10"/>
      <c r="N139" s="33">
        <v>38047</v>
      </c>
      <c r="O139" s="33"/>
      <c r="P139" s="21" t="s">
        <v>37</v>
      </c>
      <c r="Q139" s="10"/>
      <c r="R139" s="10" t="s">
        <v>39</v>
      </c>
    </row>
    <row r="140" spans="1:18" ht="12.75" hidden="1">
      <c r="A140" s="10"/>
      <c r="B140" s="21">
        <v>18</v>
      </c>
      <c r="C140" s="10"/>
      <c r="D140" s="10"/>
      <c r="E140" s="10"/>
      <c r="F140" s="10">
        <v>0.386</v>
      </c>
      <c r="G140" s="10"/>
      <c r="H140" s="21"/>
      <c r="I140" s="21"/>
      <c r="J140" s="10"/>
      <c r="K140" s="21"/>
      <c r="L140" s="21"/>
      <c r="M140" s="10"/>
      <c r="N140" s="33">
        <v>38047</v>
      </c>
      <c r="O140" s="33"/>
      <c r="P140" s="21" t="s">
        <v>37</v>
      </c>
      <c r="Q140" s="10"/>
      <c r="R140" s="10" t="s">
        <v>39</v>
      </c>
    </row>
    <row r="141" spans="2:18" ht="12.75" hidden="1">
      <c r="B141" s="21">
        <v>12</v>
      </c>
      <c r="C141" s="10"/>
      <c r="D141" s="10"/>
      <c r="E141" s="10"/>
      <c r="F141" s="21">
        <v>0.351</v>
      </c>
      <c r="G141" s="10"/>
      <c r="H141" s="21"/>
      <c r="I141" s="21"/>
      <c r="J141" s="10"/>
      <c r="K141" s="21"/>
      <c r="L141" s="21"/>
      <c r="M141" s="10"/>
      <c r="N141" s="33">
        <v>38047</v>
      </c>
      <c r="O141" s="33"/>
      <c r="P141" s="21" t="s">
        <v>37</v>
      </c>
      <c r="Q141" s="10"/>
      <c r="R141" s="10" t="s">
        <v>40</v>
      </c>
    </row>
    <row r="142" spans="1:18" ht="12.75" hidden="1">
      <c r="A142" s="10"/>
      <c r="B142" s="21">
        <v>15</v>
      </c>
      <c r="C142" s="10"/>
      <c r="D142" s="10"/>
      <c r="E142" s="10"/>
      <c r="F142" s="10">
        <v>0.335</v>
      </c>
      <c r="G142" s="10"/>
      <c r="H142" s="21"/>
      <c r="I142" s="21"/>
      <c r="J142" s="10"/>
      <c r="K142" s="21"/>
      <c r="L142" s="21"/>
      <c r="M142" s="10"/>
      <c r="N142" s="33">
        <v>38047</v>
      </c>
      <c r="O142" s="33"/>
      <c r="P142" s="21" t="s">
        <v>37</v>
      </c>
      <c r="Q142" s="10"/>
      <c r="R142" s="10" t="s">
        <v>40</v>
      </c>
    </row>
    <row r="143" spans="2:18" s="12" customFormat="1" ht="12.75" hidden="1">
      <c r="B143" s="23">
        <v>18</v>
      </c>
      <c r="F143" s="23">
        <v>0.32</v>
      </c>
      <c r="H143" s="23"/>
      <c r="I143" s="23"/>
      <c r="K143" s="23"/>
      <c r="L143" s="23"/>
      <c r="N143" s="36">
        <v>38047</v>
      </c>
      <c r="O143" s="36"/>
      <c r="P143" s="23" t="s">
        <v>37</v>
      </c>
      <c r="R143" s="12" t="s">
        <v>40</v>
      </c>
    </row>
    <row r="144" spans="1:18" ht="12.75" hidden="1">
      <c r="A144" s="10" t="s">
        <v>41</v>
      </c>
      <c r="B144" s="21">
        <v>19</v>
      </c>
      <c r="C144" s="10"/>
      <c r="D144" s="10"/>
      <c r="E144" s="10">
        <v>0.39</v>
      </c>
      <c r="F144" s="10"/>
      <c r="G144" s="10"/>
      <c r="H144" s="21"/>
      <c r="I144" s="21"/>
      <c r="J144" s="10"/>
      <c r="K144" s="21"/>
      <c r="L144" s="21"/>
      <c r="M144" s="10"/>
      <c r="N144" s="36">
        <v>38504</v>
      </c>
      <c r="O144" s="126"/>
      <c r="P144" s="21" t="s">
        <v>37</v>
      </c>
      <c r="Q144" s="10"/>
      <c r="R144" s="10"/>
    </row>
    <row r="145" spans="1:18" ht="12.75">
      <c r="A145" s="10" t="s">
        <v>42</v>
      </c>
      <c r="B145" s="10"/>
      <c r="C145" s="10"/>
      <c r="D145" s="10"/>
      <c r="E145" s="10"/>
      <c r="F145" s="10"/>
      <c r="G145" s="10"/>
      <c r="H145" s="21"/>
      <c r="I145" s="21"/>
      <c r="J145" s="10"/>
      <c r="K145" s="10"/>
      <c r="L145" s="10"/>
      <c r="M145" s="10"/>
      <c r="P145" s="10"/>
      <c r="Q145" s="10"/>
      <c r="R145" s="10"/>
    </row>
    <row r="146" spans="1:18" ht="12.75">
      <c r="A146" s="10"/>
      <c r="B146" s="10"/>
      <c r="C146" s="10"/>
      <c r="D146" s="10"/>
      <c r="E146" s="10"/>
      <c r="F146" s="10"/>
      <c r="G146" s="10"/>
      <c r="H146" s="21"/>
      <c r="I146" s="21"/>
      <c r="J146" s="10"/>
      <c r="K146" s="10"/>
      <c r="L146" s="10"/>
      <c r="M146" s="10"/>
      <c r="P146" s="10"/>
      <c r="Q146" s="10"/>
      <c r="R146" s="10"/>
    </row>
    <row r="147" spans="1:18" ht="12.75">
      <c r="A147" s="10"/>
      <c r="B147" s="10"/>
      <c r="C147" s="10"/>
      <c r="D147" s="10"/>
      <c r="E147" s="10"/>
      <c r="F147" s="10"/>
      <c r="G147" s="10"/>
      <c r="H147" s="21"/>
      <c r="I147" s="21"/>
      <c r="J147" s="10"/>
      <c r="K147" s="10"/>
      <c r="L147" s="10"/>
      <c r="M147" s="10"/>
      <c r="P147" s="10"/>
      <c r="Q147" s="10"/>
      <c r="R147" s="10"/>
    </row>
    <row r="149" ht="12.75">
      <c r="A149" t="s">
        <v>43</v>
      </c>
    </row>
    <row r="150" ht="12.75">
      <c r="A150" t="s">
        <v>44</v>
      </c>
    </row>
  </sheetData>
  <sheetProtection/>
  <mergeCells count="1">
    <mergeCell ref="C98:M98"/>
  </mergeCells>
  <printOptions/>
  <pageMargins left="0.7" right="0.7" top="0.75" bottom="0.75" header="0.3" footer="0.3"/>
  <pageSetup fitToHeight="1" fitToWidth="1"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Q130"/>
  <sheetViews>
    <sheetView zoomScalePageLayoutView="0" workbookViewId="0" topLeftCell="A1">
      <selection activeCell="F10" sqref="F10"/>
    </sheetView>
  </sheetViews>
  <sheetFormatPr defaultColWidth="9.140625" defaultRowHeight="12.75"/>
  <cols>
    <col min="1" max="1" width="13.00390625" style="0" customWidth="1"/>
    <col min="2" max="2" width="16.28125" style="0" customWidth="1"/>
    <col min="3" max="3" width="12.140625" style="0" customWidth="1"/>
    <col min="4" max="4" width="14.00390625" style="0" customWidth="1"/>
    <col min="5" max="5" width="15.140625" style="0" customWidth="1"/>
    <col min="6" max="6" width="12.57421875" style="0" customWidth="1"/>
    <col min="7" max="7" width="14.57421875" style="0" customWidth="1"/>
    <col min="8" max="8" width="13.421875" style="0" customWidth="1"/>
    <col min="9" max="9" width="18.8515625" style="0" customWidth="1"/>
    <col min="10" max="10" width="14.140625" style="0" customWidth="1"/>
    <col min="11" max="11" width="18.00390625" style="0" customWidth="1"/>
    <col min="12" max="12" width="14.7109375" style="0" customWidth="1"/>
    <col min="13" max="13" width="16.7109375" style="0" customWidth="1"/>
    <col min="14" max="14" width="23.00390625" style="0" customWidth="1"/>
    <col min="15" max="15" width="32.57421875" style="0" customWidth="1"/>
    <col min="16" max="16" width="10.8515625" style="0" bestFit="1" customWidth="1"/>
    <col min="17" max="17" width="37.421875" style="0" bestFit="1" customWidth="1"/>
  </cols>
  <sheetData>
    <row r="1" ht="12.75">
      <c r="A1" s="1" t="s">
        <v>7</v>
      </c>
    </row>
    <row r="3" spans="1:15" ht="18">
      <c r="A3" s="83" t="s">
        <v>166</v>
      </c>
      <c r="B3" s="2"/>
      <c r="C3" s="2"/>
      <c r="D3" s="2"/>
      <c r="E3" s="2"/>
      <c r="F3" s="2"/>
      <c r="G3" s="2"/>
      <c r="H3" s="2"/>
      <c r="I3" s="2"/>
      <c r="J3" s="2"/>
      <c r="K3" s="2"/>
      <c r="L3" s="2"/>
      <c r="M3" s="2"/>
      <c r="N3" s="2"/>
      <c r="O3" s="73"/>
    </row>
    <row r="4" spans="1:15" ht="12.75">
      <c r="A4" s="19" t="s">
        <v>168</v>
      </c>
      <c r="B4" s="19" t="s">
        <v>168</v>
      </c>
      <c r="C4" s="2"/>
      <c r="D4" s="2"/>
      <c r="E4" s="2"/>
      <c r="F4" s="2"/>
      <c r="G4" s="2"/>
      <c r="H4" s="2"/>
      <c r="I4" s="2"/>
      <c r="J4" s="2"/>
      <c r="K4" s="2"/>
      <c r="L4" s="2"/>
      <c r="M4" s="72"/>
      <c r="N4" s="2"/>
      <c r="O4" s="73"/>
    </row>
    <row r="5" spans="1:14" ht="12.75">
      <c r="A5" s="19" t="s">
        <v>47</v>
      </c>
      <c r="B5" s="19" t="s">
        <v>47</v>
      </c>
      <c r="C5" s="19" t="s">
        <v>69</v>
      </c>
      <c r="D5" s="2"/>
      <c r="E5" s="2"/>
      <c r="F5" s="2"/>
      <c r="G5" s="2"/>
      <c r="H5" s="2"/>
      <c r="I5" s="2"/>
      <c r="J5" s="2"/>
      <c r="K5" s="2"/>
      <c r="L5" s="19" t="s">
        <v>110</v>
      </c>
      <c r="M5" s="65" t="s">
        <v>59</v>
      </c>
      <c r="N5" s="19" t="s">
        <v>65</v>
      </c>
    </row>
    <row r="6" spans="1:14" ht="12.75">
      <c r="A6" s="19" t="s">
        <v>56</v>
      </c>
      <c r="B6" s="19" t="s">
        <v>58</v>
      </c>
      <c r="C6" s="19" t="s">
        <v>38</v>
      </c>
      <c r="D6" s="19" t="s">
        <v>61</v>
      </c>
      <c r="E6" s="19" t="s">
        <v>63</v>
      </c>
      <c r="F6" s="19" t="s">
        <v>63</v>
      </c>
      <c r="G6" s="19" t="s">
        <v>90</v>
      </c>
      <c r="H6" s="19" t="s">
        <v>1</v>
      </c>
      <c r="I6" s="19" t="s">
        <v>2</v>
      </c>
      <c r="J6" s="19" t="s">
        <v>101</v>
      </c>
      <c r="K6" s="19" t="s">
        <v>102</v>
      </c>
      <c r="L6" s="19" t="s">
        <v>111</v>
      </c>
      <c r="M6" s="22" t="s">
        <v>112</v>
      </c>
      <c r="N6" s="19" t="s">
        <v>66</v>
      </c>
    </row>
    <row r="7" spans="1:16" ht="15.75">
      <c r="A7" s="14" t="s">
        <v>57</v>
      </c>
      <c r="B7" s="14" t="s">
        <v>57</v>
      </c>
      <c r="C7" s="14" t="s">
        <v>60</v>
      </c>
      <c r="D7" s="14" t="s">
        <v>62</v>
      </c>
      <c r="E7" s="14" t="s">
        <v>150</v>
      </c>
      <c r="F7" s="14" t="s">
        <v>156</v>
      </c>
      <c r="G7" s="7" t="s">
        <v>151</v>
      </c>
      <c r="H7" s="7" t="s">
        <v>151</v>
      </c>
      <c r="I7" s="7" t="s">
        <v>151</v>
      </c>
      <c r="J7" s="7" t="s">
        <v>151</v>
      </c>
      <c r="K7" s="7" t="s">
        <v>151</v>
      </c>
      <c r="L7" s="20" t="s">
        <v>4</v>
      </c>
      <c r="M7" s="14" t="s">
        <v>113</v>
      </c>
      <c r="N7" s="14" t="s">
        <v>20</v>
      </c>
      <c r="O7" s="13" t="s">
        <v>67</v>
      </c>
      <c r="P7" s="7" t="s">
        <v>3</v>
      </c>
    </row>
    <row r="8" spans="1:16" ht="12.75">
      <c r="A8" s="19">
        <v>200</v>
      </c>
      <c r="B8" s="19" t="s">
        <v>187</v>
      </c>
      <c r="C8" s="19" t="s">
        <v>185</v>
      </c>
      <c r="D8" s="75">
        <f>(33.5-12.1)/12.1</f>
        <v>1.768595041322314</v>
      </c>
      <c r="E8" s="119">
        <v>0.2</v>
      </c>
      <c r="F8" s="2">
        <f>44/36*E8</f>
        <v>0.24444444444444446</v>
      </c>
      <c r="G8" s="2"/>
      <c r="H8" s="2"/>
      <c r="I8" s="2"/>
      <c r="J8" s="2"/>
      <c r="K8" s="2"/>
      <c r="L8" s="19" t="s">
        <v>193</v>
      </c>
      <c r="M8" s="66">
        <v>0</v>
      </c>
      <c r="N8" s="19" t="s">
        <v>188</v>
      </c>
      <c r="O8" s="46" t="s">
        <v>189</v>
      </c>
      <c r="P8" s="3" t="s">
        <v>190</v>
      </c>
    </row>
    <row r="9" spans="1:16" ht="12.75">
      <c r="A9" s="2">
        <v>175</v>
      </c>
      <c r="B9" s="2">
        <v>130</v>
      </c>
      <c r="C9" s="2"/>
      <c r="D9" s="125">
        <v>0.937</v>
      </c>
      <c r="E9" s="2">
        <v>0.38</v>
      </c>
      <c r="F9" s="2">
        <f>44/36*E9</f>
        <v>0.4644444444444445</v>
      </c>
      <c r="L9">
        <f>232+15/60</f>
        <v>232.25</v>
      </c>
      <c r="M9" s="124">
        <v>0.08</v>
      </c>
      <c r="N9" s="19" t="s">
        <v>198</v>
      </c>
      <c r="O9" s="3" t="s">
        <v>182</v>
      </c>
      <c r="P9" s="58" t="s">
        <v>196</v>
      </c>
    </row>
    <row r="10" ht="12.75">
      <c r="P10" s="58"/>
    </row>
    <row r="17" spans="1:10" ht="12.75">
      <c r="A17" s="299" t="s">
        <v>303</v>
      </c>
      <c r="B17" s="300"/>
      <c r="C17" s="300"/>
      <c r="D17" s="300"/>
      <c r="E17" s="300"/>
      <c r="F17" s="300"/>
      <c r="G17" s="300"/>
      <c r="H17" s="300"/>
      <c r="I17" s="300"/>
      <c r="J17" s="300"/>
    </row>
    <row r="18" spans="1:10" ht="12.75">
      <c r="A18" s="300"/>
      <c r="B18" s="300"/>
      <c r="C18" s="300"/>
      <c r="D18" s="300"/>
      <c r="E18" s="300"/>
      <c r="F18" s="300"/>
      <c r="G18" s="300"/>
      <c r="H18" s="300"/>
      <c r="I18" s="300"/>
      <c r="J18" s="300"/>
    </row>
    <row r="19" spans="1:10" ht="12.75">
      <c r="A19" s="300"/>
      <c r="B19" s="300"/>
      <c r="C19" s="300"/>
      <c r="D19" s="300"/>
      <c r="E19" s="300"/>
      <c r="F19" s="300"/>
      <c r="G19" s="300"/>
      <c r="H19" s="300"/>
      <c r="I19" s="300"/>
      <c r="J19" s="300"/>
    </row>
    <row r="20" spans="1:10" ht="12.75">
      <c r="A20" s="300"/>
      <c r="B20" s="300"/>
      <c r="C20" s="300"/>
      <c r="D20" s="300"/>
      <c r="E20" s="300"/>
      <c r="F20" s="300"/>
      <c r="G20" s="300"/>
      <c r="H20" s="300"/>
      <c r="I20" s="300"/>
      <c r="J20" s="300"/>
    </row>
    <row r="21" spans="1:10" ht="12.75">
      <c r="A21" s="300"/>
      <c r="B21" s="300"/>
      <c r="C21" s="300"/>
      <c r="D21" s="300"/>
      <c r="E21" s="300"/>
      <c r="F21" s="300"/>
      <c r="G21" s="300"/>
      <c r="H21" s="300"/>
      <c r="I21" s="300"/>
      <c r="J21" s="300"/>
    </row>
    <row r="22" spans="1:10" ht="12.75">
      <c r="A22" s="300"/>
      <c r="B22" s="300"/>
      <c r="C22" s="300"/>
      <c r="D22" s="300"/>
      <c r="E22" s="300"/>
      <c r="F22" s="300"/>
      <c r="G22" s="300"/>
      <c r="H22" s="300"/>
      <c r="I22" s="300"/>
      <c r="J22" s="300"/>
    </row>
    <row r="23" spans="1:10" ht="12.75">
      <c r="A23" s="300"/>
      <c r="B23" s="300"/>
      <c r="C23" s="300"/>
      <c r="D23" s="300"/>
      <c r="E23" s="300"/>
      <c r="F23" s="300"/>
      <c r="G23" s="300"/>
      <c r="H23" s="300"/>
      <c r="I23" s="300"/>
      <c r="J23" s="300"/>
    </row>
    <row r="24" spans="1:10" ht="12.75">
      <c r="A24" s="300"/>
      <c r="B24" s="300"/>
      <c r="C24" s="300"/>
      <c r="D24" s="300"/>
      <c r="E24" s="300"/>
      <c r="F24" s="300"/>
      <c r="G24" s="300"/>
      <c r="H24" s="300"/>
      <c r="I24" s="300"/>
      <c r="J24" s="300"/>
    </row>
    <row r="25" spans="1:10" ht="12.75">
      <c r="A25" s="300"/>
      <c r="B25" s="300"/>
      <c r="C25" s="300"/>
      <c r="D25" s="300"/>
      <c r="E25" s="300"/>
      <c r="F25" s="300"/>
      <c r="G25" s="300"/>
      <c r="H25" s="300"/>
      <c r="I25" s="300"/>
      <c r="J25" s="300"/>
    </row>
    <row r="26" spans="1:10" ht="12.75">
      <c r="A26" s="300"/>
      <c r="B26" s="300"/>
      <c r="C26" s="300"/>
      <c r="D26" s="300"/>
      <c r="E26" s="300"/>
      <c r="F26" s="300"/>
      <c r="G26" s="300"/>
      <c r="H26" s="300"/>
      <c r="I26" s="300"/>
      <c r="J26" s="300"/>
    </row>
    <row r="76" ht="12.75">
      <c r="A76" s="108" t="s">
        <v>169</v>
      </c>
    </row>
    <row r="78" spans="3:13" ht="12.75">
      <c r="C78" s="296" t="s">
        <v>8</v>
      </c>
      <c r="D78" s="297"/>
      <c r="E78" s="297"/>
      <c r="F78" s="297"/>
      <c r="G78" s="297"/>
      <c r="H78" s="297"/>
      <c r="I78" s="297"/>
      <c r="J78" s="297"/>
      <c r="K78" s="297"/>
      <c r="L78" s="297"/>
      <c r="M78" s="298"/>
    </row>
    <row r="79" spans="1:17" s="13" customFormat="1" ht="26.25">
      <c r="A79" s="24" t="s">
        <v>9</v>
      </c>
      <c r="B79" s="25" t="s">
        <v>10</v>
      </c>
      <c r="C79" s="25" t="s">
        <v>11</v>
      </c>
      <c r="D79" s="24" t="s">
        <v>12</v>
      </c>
      <c r="E79" s="24" t="s">
        <v>13</v>
      </c>
      <c r="F79" s="24" t="s">
        <v>14</v>
      </c>
      <c r="G79" s="24" t="s">
        <v>15</v>
      </c>
      <c r="H79" s="24" t="s">
        <v>5</v>
      </c>
      <c r="I79" s="24" t="s">
        <v>16</v>
      </c>
      <c r="J79" s="24" t="s">
        <v>17</v>
      </c>
      <c r="K79" s="24" t="s">
        <v>18</v>
      </c>
      <c r="L79" s="24" t="s">
        <v>6</v>
      </c>
      <c r="M79" s="26" t="s">
        <v>19</v>
      </c>
      <c r="N79" s="24" t="s">
        <v>20</v>
      </c>
      <c r="O79" s="25" t="s">
        <v>21</v>
      </c>
      <c r="P79" s="25" t="s">
        <v>22</v>
      </c>
      <c r="Q79" s="25" t="s">
        <v>23</v>
      </c>
    </row>
    <row r="80" spans="1:17" ht="13.5" hidden="1" thickBot="1">
      <c r="A80" s="27" t="s">
        <v>24</v>
      </c>
      <c r="B80" s="27"/>
      <c r="C80" s="28">
        <v>2.32</v>
      </c>
      <c r="D80" s="27"/>
      <c r="E80" s="27">
        <v>0.62</v>
      </c>
      <c r="F80" s="27">
        <v>0.05</v>
      </c>
      <c r="G80" s="27"/>
      <c r="H80" s="27"/>
      <c r="I80" s="27"/>
      <c r="J80" s="27">
        <v>0.006</v>
      </c>
      <c r="K80" s="27"/>
      <c r="L80" s="27"/>
      <c r="M80" s="29"/>
      <c r="N80" s="27">
        <v>1994</v>
      </c>
      <c r="O80" s="27"/>
      <c r="P80" s="27" t="s">
        <v>25</v>
      </c>
      <c r="Q80" s="27" t="s">
        <v>26</v>
      </c>
    </row>
    <row r="81" spans="1:16" ht="12.75" hidden="1">
      <c r="A81" t="s">
        <v>27</v>
      </c>
      <c r="B81">
        <v>8</v>
      </c>
      <c r="C81" s="18"/>
      <c r="D81" s="10"/>
      <c r="E81" s="10"/>
      <c r="F81" s="10"/>
      <c r="G81" s="10"/>
      <c r="H81" s="10">
        <v>0.26</v>
      </c>
      <c r="I81" s="10"/>
      <c r="J81" s="10"/>
      <c r="K81" s="10"/>
      <c r="L81" s="10"/>
      <c r="M81" s="11"/>
      <c r="N81">
        <v>1996</v>
      </c>
      <c r="O81" t="s">
        <v>28</v>
      </c>
      <c r="P81" t="s">
        <v>29</v>
      </c>
    </row>
    <row r="82" spans="2:16" ht="12.75" hidden="1">
      <c r="B82">
        <v>12</v>
      </c>
      <c r="C82" s="18"/>
      <c r="D82" s="10"/>
      <c r="E82" s="10"/>
      <c r="F82" s="10"/>
      <c r="G82" s="10"/>
      <c r="H82" s="10">
        <v>0.24</v>
      </c>
      <c r="I82" s="10"/>
      <c r="J82" s="10"/>
      <c r="K82" s="10"/>
      <c r="L82" s="10"/>
      <c r="M82" s="11"/>
      <c r="N82">
        <v>1996</v>
      </c>
      <c r="O82" t="s">
        <v>28</v>
      </c>
      <c r="P82" t="s">
        <v>29</v>
      </c>
    </row>
    <row r="83" spans="2:16" ht="12.75" hidden="1">
      <c r="B83">
        <v>16</v>
      </c>
      <c r="C83" s="18"/>
      <c r="D83" s="10"/>
      <c r="E83" s="10"/>
      <c r="F83" s="10"/>
      <c r="G83" s="10"/>
      <c r="H83" s="10">
        <v>0.2</v>
      </c>
      <c r="I83" s="10"/>
      <c r="J83" s="10"/>
      <c r="K83" s="10"/>
      <c r="L83" s="10"/>
      <c r="M83" s="11"/>
      <c r="N83">
        <v>1996</v>
      </c>
      <c r="O83" t="s">
        <v>28</v>
      </c>
      <c r="P83" t="s">
        <v>29</v>
      </c>
    </row>
    <row r="84" spans="2:16" ht="12.75" hidden="1">
      <c r="B84">
        <v>20</v>
      </c>
      <c r="C84" s="18"/>
      <c r="D84" s="10"/>
      <c r="E84" s="10"/>
      <c r="F84" s="10"/>
      <c r="G84" s="10"/>
      <c r="H84" s="21">
        <v>0.14</v>
      </c>
      <c r="I84" s="21"/>
      <c r="J84" s="10"/>
      <c r="K84" s="10"/>
      <c r="L84" s="10"/>
      <c r="M84" s="11"/>
      <c r="N84">
        <v>1996</v>
      </c>
      <c r="O84" t="s">
        <v>28</v>
      </c>
      <c r="P84" t="s">
        <v>29</v>
      </c>
    </row>
    <row r="85" spans="2:16" ht="12.75" hidden="1">
      <c r="B85">
        <v>30</v>
      </c>
      <c r="C85" s="18"/>
      <c r="D85" s="10"/>
      <c r="E85" s="10"/>
      <c r="F85" s="10"/>
      <c r="G85" s="10"/>
      <c r="H85" s="21">
        <v>0.01</v>
      </c>
      <c r="I85" s="21"/>
      <c r="J85" s="10"/>
      <c r="K85" s="10"/>
      <c r="L85" s="10"/>
      <c r="M85" s="11"/>
      <c r="N85">
        <v>1996</v>
      </c>
      <c r="O85" t="s">
        <v>28</v>
      </c>
      <c r="P85" t="s">
        <v>29</v>
      </c>
    </row>
    <row r="86" spans="1:17" ht="13.5" hidden="1" thickBot="1">
      <c r="A86" s="30"/>
      <c r="B86" s="30">
        <v>40</v>
      </c>
      <c r="C86" s="31"/>
      <c r="D86" s="30"/>
      <c r="E86" s="30"/>
      <c r="F86" s="30"/>
      <c r="G86" s="30"/>
      <c r="H86" s="30">
        <v>0</v>
      </c>
      <c r="I86" s="30"/>
      <c r="J86" s="30"/>
      <c r="K86" s="30"/>
      <c r="L86" s="30"/>
      <c r="M86" s="32"/>
      <c r="N86" s="30">
        <v>1996</v>
      </c>
      <c r="O86" s="30" t="s">
        <v>28</v>
      </c>
      <c r="P86" s="30" t="s">
        <v>29</v>
      </c>
      <c r="Q86" s="30"/>
    </row>
    <row r="87" spans="1:16" ht="12.75" hidden="1">
      <c r="A87" t="s">
        <v>30</v>
      </c>
      <c r="B87">
        <v>8</v>
      </c>
      <c r="C87" s="18">
        <v>0.425</v>
      </c>
      <c r="D87" s="10">
        <v>0.39</v>
      </c>
      <c r="E87" s="10">
        <v>0.31</v>
      </c>
      <c r="F87" s="10">
        <v>0.14</v>
      </c>
      <c r="G87" s="10"/>
      <c r="H87" s="10"/>
      <c r="I87" s="10"/>
      <c r="J87" s="10"/>
      <c r="K87" s="10"/>
      <c r="L87" s="10"/>
      <c r="M87" s="11"/>
      <c r="N87" s="33">
        <v>35462</v>
      </c>
      <c r="O87" t="s">
        <v>28</v>
      </c>
      <c r="P87" t="s">
        <v>29</v>
      </c>
    </row>
    <row r="88" spans="2:16" ht="12.75" hidden="1">
      <c r="B88">
        <v>12</v>
      </c>
      <c r="C88" s="18">
        <v>0.32</v>
      </c>
      <c r="D88" s="10">
        <v>0.26</v>
      </c>
      <c r="E88" s="10">
        <v>0.25</v>
      </c>
      <c r="F88" s="10">
        <v>0.11</v>
      </c>
      <c r="G88" s="10"/>
      <c r="H88" s="10"/>
      <c r="I88" s="10"/>
      <c r="J88" s="10"/>
      <c r="K88" s="10"/>
      <c r="L88" s="10"/>
      <c r="N88" s="33">
        <v>35462</v>
      </c>
      <c r="O88" t="s">
        <v>28</v>
      </c>
      <c r="P88" t="s">
        <v>29</v>
      </c>
    </row>
    <row r="89" spans="2:16" ht="12.75" hidden="1">
      <c r="B89">
        <v>16</v>
      </c>
      <c r="C89" s="18">
        <v>0.235</v>
      </c>
      <c r="D89" s="10">
        <v>0.12</v>
      </c>
      <c r="E89" s="10">
        <v>0.18</v>
      </c>
      <c r="F89" s="10">
        <v>0.09</v>
      </c>
      <c r="G89" s="10"/>
      <c r="H89" s="10"/>
      <c r="I89" s="10"/>
      <c r="J89" s="10"/>
      <c r="K89" s="10"/>
      <c r="L89" s="10"/>
      <c r="M89" s="11"/>
      <c r="N89" s="33">
        <v>35462</v>
      </c>
      <c r="O89" t="s">
        <v>28</v>
      </c>
      <c r="P89" t="s">
        <v>29</v>
      </c>
    </row>
    <row r="90" spans="2:16" ht="12.75" hidden="1">
      <c r="B90">
        <v>20</v>
      </c>
      <c r="C90" s="18">
        <v>0.14</v>
      </c>
      <c r="D90" s="21">
        <v>0.03</v>
      </c>
      <c r="E90" s="21">
        <v>0.1</v>
      </c>
      <c r="F90" s="21">
        <v>0.07</v>
      </c>
      <c r="G90" s="10"/>
      <c r="H90" s="10"/>
      <c r="I90" s="10"/>
      <c r="J90" s="10"/>
      <c r="K90" s="10"/>
      <c r="L90" s="10"/>
      <c r="M90" s="11"/>
      <c r="N90" s="33">
        <v>35462</v>
      </c>
      <c r="O90" t="s">
        <v>28</v>
      </c>
      <c r="P90" t="s">
        <v>29</v>
      </c>
    </row>
    <row r="91" spans="2:16" ht="12.75" hidden="1">
      <c r="B91">
        <v>30</v>
      </c>
      <c r="C91" s="18">
        <v>0</v>
      </c>
      <c r="D91" s="21">
        <v>0</v>
      </c>
      <c r="E91" s="21">
        <v>0</v>
      </c>
      <c r="F91" s="21">
        <v>0.035</v>
      </c>
      <c r="G91" s="10"/>
      <c r="H91" s="10"/>
      <c r="I91" s="10"/>
      <c r="J91" s="10"/>
      <c r="K91" s="10"/>
      <c r="L91" s="10"/>
      <c r="M91" s="11"/>
      <c r="N91" s="33">
        <v>35462</v>
      </c>
      <c r="O91" t="s">
        <v>28</v>
      </c>
      <c r="P91" t="s">
        <v>29</v>
      </c>
    </row>
    <row r="92" spans="1:17" ht="13.5" hidden="1" thickBot="1">
      <c r="A92" s="30"/>
      <c r="B92" s="30">
        <v>40</v>
      </c>
      <c r="C92" s="31">
        <v>0</v>
      </c>
      <c r="D92" s="30">
        <v>0</v>
      </c>
      <c r="E92" s="30">
        <v>0</v>
      </c>
      <c r="F92" s="30">
        <v>0.005</v>
      </c>
      <c r="G92" s="30"/>
      <c r="H92" s="30"/>
      <c r="I92" s="30"/>
      <c r="J92" s="30"/>
      <c r="K92" s="30"/>
      <c r="L92" s="30"/>
      <c r="M92" s="32"/>
      <c r="N92" s="34">
        <v>35462</v>
      </c>
      <c r="O92" s="30" t="s">
        <v>28</v>
      </c>
      <c r="P92" s="30" t="s">
        <v>29</v>
      </c>
      <c r="Q92" s="30"/>
    </row>
    <row r="93" spans="1:16" ht="12.75" hidden="1">
      <c r="A93" t="s">
        <v>31</v>
      </c>
      <c r="B93">
        <v>8</v>
      </c>
      <c r="C93" s="18"/>
      <c r="D93" s="10"/>
      <c r="E93" s="10"/>
      <c r="F93" s="10"/>
      <c r="G93" s="10"/>
      <c r="H93" s="10"/>
      <c r="I93" s="10"/>
      <c r="J93" s="10"/>
      <c r="K93" s="10"/>
      <c r="L93" s="10"/>
      <c r="M93" s="11"/>
      <c r="N93" s="33">
        <v>36192</v>
      </c>
      <c r="O93" t="s">
        <v>28</v>
      </c>
      <c r="P93" t="s">
        <v>29</v>
      </c>
    </row>
    <row r="94" spans="2:16" ht="12.75" hidden="1">
      <c r="B94">
        <v>12</v>
      </c>
      <c r="C94" s="18"/>
      <c r="D94" s="10"/>
      <c r="E94" s="10"/>
      <c r="F94" s="10">
        <v>0.159</v>
      </c>
      <c r="G94" s="10">
        <v>0.073</v>
      </c>
      <c r="H94" s="10"/>
      <c r="I94" s="10"/>
      <c r="J94" s="10"/>
      <c r="K94" s="10"/>
      <c r="L94" s="10"/>
      <c r="N94" s="33">
        <v>36192</v>
      </c>
      <c r="O94" t="s">
        <v>28</v>
      </c>
      <c r="P94" t="s">
        <v>29</v>
      </c>
    </row>
    <row r="95" spans="2:16" ht="12.75" hidden="1">
      <c r="B95">
        <v>16</v>
      </c>
      <c r="C95" s="18"/>
      <c r="D95" s="10"/>
      <c r="E95" s="10"/>
      <c r="F95" s="10"/>
      <c r="G95" s="10"/>
      <c r="H95" s="10"/>
      <c r="I95" s="10"/>
      <c r="J95" s="10"/>
      <c r="K95" s="10"/>
      <c r="L95" s="10"/>
      <c r="M95" s="11"/>
      <c r="N95" s="33">
        <v>36192</v>
      </c>
      <c r="O95" t="s">
        <v>28</v>
      </c>
      <c r="P95" t="s">
        <v>29</v>
      </c>
    </row>
    <row r="96" spans="2:16" ht="12.75" hidden="1">
      <c r="B96">
        <v>20</v>
      </c>
      <c r="C96" s="18"/>
      <c r="D96" s="10"/>
      <c r="E96" s="10"/>
      <c r="F96" s="10"/>
      <c r="G96" s="10"/>
      <c r="H96" s="10"/>
      <c r="I96" s="10"/>
      <c r="J96" s="10"/>
      <c r="K96" s="10"/>
      <c r="L96" s="10"/>
      <c r="M96" s="11"/>
      <c r="N96" s="33">
        <v>36192</v>
      </c>
      <c r="O96" t="s">
        <v>28</v>
      </c>
      <c r="P96" t="s">
        <v>29</v>
      </c>
    </row>
    <row r="97" spans="2:16" ht="12.75" hidden="1">
      <c r="B97">
        <v>30</v>
      </c>
      <c r="C97" s="18"/>
      <c r="D97" s="10"/>
      <c r="E97" s="10"/>
      <c r="F97" s="10"/>
      <c r="G97" s="10"/>
      <c r="H97" s="10"/>
      <c r="I97" s="10"/>
      <c r="J97" s="10"/>
      <c r="K97" s="10"/>
      <c r="L97" s="10"/>
      <c r="M97" s="11"/>
      <c r="N97" s="33">
        <v>36192</v>
      </c>
      <c r="O97" t="s">
        <v>28</v>
      </c>
      <c r="P97" t="s">
        <v>29</v>
      </c>
    </row>
    <row r="98" spans="1:17" ht="13.5" hidden="1" thickBot="1">
      <c r="A98" s="30"/>
      <c r="B98" s="30">
        <v>40</v>
      </c>
      <c r="C98" s="31"/>
      <c r="D98" s="30"/>
      <c r="E98" s="30"/>
      <c r="F98" s="30"/>
      <c r="G98" s="30"/>
      <c r="H98" s="30"/>
      <c r="I98" s="30"/>
      <c r="J98" s="30"/>
      <c r="K98" s="30"/>
      <c r="L98" s="30"/>
      <c r="M98" s="32"/>
      <c r="N98" s="34">
        <v>36192</v>
      </c>
      <c r="O98" s="30" t="s">
        <v>28</v>
      </c>
      <c r="P98" s="30" t="s">
        <v>29</v>
      </c>
      <c r="Q98" s="30"/>
    </row>
    <row r="99" spans="1:17" ht="12.75">
      <c r="A99" t="s">
        <v>32</v>
      </c>
      <c r="B99">
        <v>8</v>
      </c>
      <c r="C99" s="18"/>
      <c r="D99" s="10"/>
      <c r="E99" s="10"/>
      <c r="F99" s="10"/>
      <c r="G99" s="10"/>
      <c r="H99" s="10">
        <v>0.096</v>
      </c>
      <c r="I99" s="10">
        <v>0.12</v>
      </c>
      <c r="J99" s="10"/>
      <c r="K99" s="10"/>
      <c r="L99" s="10">
        <v>0.11</v>
      </c>
      <c r="M99" s="11"/>
      <c r="N99">
        <v>1998</v>
      </c>
      <c r="O99" t="s">
        <v>28</v>
      </c>
      <c r="P99" t="s">
        <v>29</v>
      </c>
      <c r="Q99" t="s">
        <v>33</v>
      </c>
    </row>
    <row r="100" spans="1:16" ht="12.75">
      <c r="A100" t="s">
        <v>34</v>
      </c>
      <c r="B100">
        <v>12</v>
      </c>
      <c r="C100" s="18"/>
      <c r="D100" s="10"/>
      <c r="E100" s="10"/>
      <c r="F100" s="10"/>
      <c r="G100" s="10"/>
      <c r="H100" s="10">
        <v>0.077</v>
      </c>
      <c r="I100" s="10">
        <v>0.095</v>
      </c>
      <c r="J100" s="10"/>
      <c r="K100" s="10"/>
      <c r="L100" s="10">
        <v>0.095</v>
      </c>
      <c r="M100" s="11"/>
      <c r="N100">
        <v>1998</v>
      </c>
      <c r="O100" t="s">
        <v>28</v>
      </c>
      <c r="P100" t="s">
        <v>29</v>
      </c>
    </row>
    <row r="101" spans="2:16" ht="12.75">
      <c r="B101">
        <v>16</v>
      </c>
      <c r="C101" s="18"/>
      <c r="D101" s="10"/>
      <c r="E101" s="10"/>
      <c r="F101" s="10"/>
      <c r="G101" s="10"/>
      <c r="H101" s="10">
        <v>0.065</v>
      </c>
      <c r="I101" s="10">
        <v>0.08</v>
      </c>
      <c r="J101" s="10"/>
      <c r="K101" s="10"/>
      <c r="L101" s="10">
        <v>0.075</v>
      </c>
      <c r="M101" s="11"/>
      <c r="N101">
        <v>1998</v>
      </c>
      <c r="O101" t="s">
        <v>28</v>
      </c>
      <c r="P101" t="s">
        <v>29</v>
      </c>
    </row>
    <row r="102" spans="2:16" ht="12.75">
      <c r="B102">
        <v>20</v>
      </c>
      <c r="C102" s="18"/>
      <c r="D102" s="10"/>
      <c r="E102" s="10"/>
      <c r="F102" s="10"/>
      <c r="G102" s="10"/>
      <c r="H102" s="21">
        <v>0.054</v>
      </c>
      <c r="I102" s="21">
        <v>0.07</v>
      </c>
      <c r="J102" s="10"/>
      <c r="K102" s="10"/>
      <c r="L102" s="10">
        <v>0.06</v>
      </c>
      <c r="M102" s="11"/>
      <c r="N102">
        <v>1998</v>
      </c>
      <c r="O102" t="s">
        <v>28</v>
      </c>
      <c r="P102" t="s">
        <v>29</v>
      </c>
    </row>
    <row r="103" spans="2:16" ht="12.75">
      <c r="B103">
        <v>30</v>
      </c>
      <c r="C103" s="18"/>
      <c r="D103" s="10"/>
      <c r="E103" s="10"/>
      <c r="F103" s="10"/>
      <c r="G103" s="10"/>
      <c r="H103" s="21">
        <v>0.034</v>
      </c>
      <c r="I103" s="21">
        <v>0.044</v>
      </c>
      <c r="J103" s="10"/>
      <c r="K103" s="10"/>
      <c r="L103" s="10">
        <v>0.035</v>
      </c>
      <c r="M103" s="11"/>
      <c r="N103">
        <v>1998</v>
      </c>
      <c r="O103" t="s">
        <v>28</v>
      </c>
      <c r="P103" t="s">
        <v>29</v>
      </c>
    </row>
    <row r="104" spans="1:17" ht="13.5" thickBot="1">
      <c r="A104" s="30"/>
      <c r="B104" s="30">
        <v>40</v>
      </c>
      <c r="C104" s="31"/>
      <c r="D104" s="30"/>
      <c r="E104" s="30"/>
      <c r="F104" s="30"/>
      <c r="G104" s="30"/>
      <c r="H104" s="30">
        <v>0.017</v>
      </c>
      <c r="I104" s="30">
        <v>0.02</v>
      </c>
      <c r="J104" s="30"/>
      <c r="K104" s="30"/>
      <c r="L104" s="30">
        <v>0.01</v>
      </c>
      <c r="M104" s="32"/>
      <c r="N104" s="30">
        <v>1998</v>
      </c>
      <c r="O104" s="30" t="s">
        <v>28</v>
      </c>
      <c r="P104" s="30" t="s">
        <v>29</v>
      </c>
      <c r="Q104" s="30"/>
    </row>
    <row r="105" spans="1:16" ht="12.75" hidden="1">
      <c r="A105" t="s">
        <v>35</v>
      </c>
      <c r="B105">
        <v>8</v>
      </c>
      <c r="C105" s="18"/>
      <c r="D105" s="10"/>
      <c r="E105" s="10"/>
      <c r="F105" s="10"/>
      <c r="G105" s="10"/>
      <c r="H105" s="21"/>
      <c r="I105" s="10"/>
      <c r="J105" s="10"/>
      <c r="K105" s="10"/>
      <c r="L105" s="10"/>
      <c r="M105" s="11"/>
      <c r="N105">
        <v>1999</v>
      </c>
      <c r="O105" t="s">
        <v>28</v>
      </c>
      <c r="P105" t="s">
        <v>29</v>
      </c>
    </row>
    <row r="106" spans="1:16" ht="12.75" hidden="1">
      <c r="A106" t="s">
        <v>34</v>
      </c>
      <c r="B106">
        <v>12</v>
      </c>
      <c r="C106" s="18"/>
      <c r="D106" s="10"/>
      <c r="E106" s="10"/>
      <c r="F106" s="10"/>
      <c r="G106" s="10"/>
      <c r="H106" s="21">
        <v>0.41</v>
      </c>
      <c r="I106" s="10"/>
      <c r="J106" s="10"/>
      <c r="K106" s="10"/>
      <c r="L106" s="10"/>
      <c r="M106" s="11"/>
      <c r="N106">
        <v>1999</v>
      </c>
      <c r="O106" t="s">
        <v>28</v>
      </c>
      <c r="P106" t="s">
        <v>29</v>
      </c>
    </row>
    <row r="107" spans="2:16" ht="12.75" hidden="1">
      <c r="B107">
        <v>16</v>
      </c>
      <c r="C107" s="18"/>
      <c r="D107" s="10"/>
      <c r="E107" s="10"/>
      <c r="F107" s="10"/>
      <c r="G107" s="10"/>
      <c r="H107" s="21">
        <v>0.36</v>
      </c>
      <c r="I107" s="10"/>
      <c r="J107" s="10"/>
      <c r="K107" s="10"/>
      <c r="L107" s="10"/>
      <c r="M107" s="11"/>
      <c r="N107">
        <v>1999</v>
      </c>
      <c r="O107" t="s">
        <v>28</v>
      </c>
      <c r="P107" t="s">
        <v>29</v>
      </c>
    </row>
    <row r="108" spans="2:16" ht="12.75" hidden="1">
      <c r="B108">
        <v>20</v>
      </c>
      <c r="C108" s="18"/>
      <c r="D108" s="10"/>
      <c r="E108" s="10"/>
      <c r="F108" s="10"/>
      <c r="G108" s="10"/>
      <c r="H108" s="21">
        <v>0.31</v>
      </c>
      <c r="I108" s="21"/>
      <c r="J108" s="10"/>
      <c r="K108" s="10"/>
      <c r="L108" s="10"/>
      <c r="M108" s="11"/>
      <c r="N108">
        <v>1999</v>
      </c>
      <c r="O108" t="s">
        <v>28</v>
      </c>
      <c r="P108" t="s">
        <v>29</v>
      </c>
    </row>
    <row r="109" spans="2:16" ht="12.75" hidden="1">
      <c r="B109">
        <v>30</v>
      </c>
      <c r="C109" s="18"/>
      <c r="D109" s="10"/>
      <c r="E109" s="10"/>
      <c r="F109" s="10"/>
      <c r="G109" s="10"/>
      <c r="H109" s="21">
        <v>0.2</v>
      </c>
      <c r="I109" s="21"/>
      <c r="J109" s="10"/>
      <c r="K109" s="10"/>
      <c r="L109" s="10"/>
      <c r="M109" s="11"/>
      <c r="N109">
        <v>1999</v>
      </c>
      <c r="O109" t="s">
        <v>28</v>
      </c>
      <c r="P109" t="s">
        <v>29</v>
      </c>
    </row>
    <row r="110" spans="1:17" ht="13.5" hidden="1" thickBot="1">
      <c r="A110" s="30"/>
      <c r="B110" s="30">
        <v>40</v>
      </c>
      <c r="C110" s="31"/>
      <c r="D110" s="30"/>
      <c r="E110" s="30"/>
      <c r="F110" s="30"/>
      <c r="G110" s="30"/>
      <c r="H110" s="30">
        <v>0.1</v>
      </c>
      <c r="I110" s="30"/>
      <c r="J110" s="30"/>
      <c r="K110" s="30"/>
      <c r="L110" s="30"/>
      <c r="M110" s="32"/>
      <c r="N110" s="30">
        <v>1999</v>
      </c>
      <c r="O110" s="30" t="s">
        <v>28</v>
      </c>
      <c r="P110" s="30" t="s">
        <v>29</v>
      </c>
      <c r="Q110" s="30"/>
    </row>
    <row r="111" spans="1:17" ht="12.75" hidden="1">
      <c r="A111" s="10" t="s">
        <v>36</v>
      </c>
      <c r="B111" s="21">
        <v>15</v>
      </c>
      <c r="C111" s="10"/>
      <c r="D111" s="10"/>
      <c r="E111" s="10"/>
      <c r="F111" s="10">
        <v>0.17</v>
      </c>
      <c r="G111" s="10"/>
      <c r="H111" s="10"/>
      <c r="I111" s="10"/>
      <c r="J111" s="10"/>
      <c r="K111" s="10"/>
      <c r="L111" s="10"/>
      <c r="M111" s="10"/>
      <c r="N111" s="33">
        <v>37288</v>
      </c>
      <c r="O111" s="21" t="s">
        <v>37</v>
      </c>
      <c r="P111" s="10"/>
      <c r="Q111" s="10"/>
    </row>
    <row r="112" spans="1:17" ht="12.75" hidden="1">
      <c r="A112" s="10" t="s">
        <v>38</v>
      </c>
      <c r="B112" s="21">
        <v>15</v>
      </c>
      <c r="C112" s="10"/>
      <c r="D112" s="10"/>
      <c r="E112" s="10"/>
      <c r="F112" s="10">
        <v>0.07</v>
      </c>
      <c r="G112" s="10"/>
      <c r="H112" s="10"/>
      <c r="I112" s="10"/>
      <c r="J112" s="10"/>
      <c r="K112" s="10"/>
      <c r="L112" s="10"/>
      <c r="M112" s="10"/>
      <c r="N112" s="33">
        <v>37288</v>
      </c>
      <c r="O112" s="21" t="s">
        <v>37</v>
      </c>
      <c r="P112" s="10"/>
      <c r="Q112" s="10"/>
    </row>
    <row r="113" spans="1:17" ht="13.5" hidden="1" thickBot="1">
      <c r="A113" s="30"/>
      <c r="B113" s="35">
        <v>15</v>
      </c>
      <c r="C113" s="30"/>
      <c r="D113" s="30"/>
      <c r="E113" s="30"/>
      <c r="F113" s="30">
        <v>0.12</v>
      </c>
      <c r="G113" s="30"/>
      <c r="H113" s="30"/>
      <c r="I113" s="30"/>
      <c r="J113" s="30"/>
      <c r="K113" s="30"/>
      <c r="L113" s="30"/>
      <c r="M113" s="30"/>
      <c r="N113" s="34">
        <v>37288</v>
      </c>
      <c r="O113" s="35" t="s">
        <v>37</v>
      </c>
      <c r="P113" s="30"/>
      <c r="Q113" s="30"/>
    </row>
    <row r="114" spans="1:17" ht="12.75" hidden="1">
      <c r="A114" s="10" t="s">
        <v>36</v>
      </c>
      <c r="B114" s="21">
        <v>12</v>
      </c>
      <c r="C114" s="10"/>
      <c r="D114" s="10"/>
      <c r="E114" s="10"/>
      <c r="F114" s="10"/>
      <c r="G114" s="10"/>
      <c r="H114" s="10"/>
      <c r="I114" s="10"/>
      <c r="J114" s="10"/>
      <c r="K114" s="10">
        <v>0.253</v>
      </c>
      <c r="L114" s="10"/>
      <c r="M114" s="10"/>
      <c r="N114" s="33">
        <v>37653</v>
      </c>
      <c r="O114" s="21" t="s">
        <v>37</v>
      </c>
      <c r="P114" s="10"/>
      <c r="Q114" s="10"/>
    </row>
    <row r="115" spans="1:17" ht="12.75" hidden="1">
      <c r="A115" s="10" t="s">
        <v>38</v>
      </c>
      <c r="B115" s="21">
        <v>14</v>
      </c>
      <c r="C115" s="10"/>
      <c r="D115" s="10"/>
      <c r="E115" s="10"/>
      <c r="F115" s="10"/>
      <c r="G115" s="10"/>
      <c r="H115" s="10"/>
      <c r="I115" s="10"/>
      <c r="J115" s="10"/>
      <c r="K115" s="10">
        <v>0.245</v>
      </c>
      <c r="L115" s="10"/>
      <c r="M115" s="10"/>
      <c r="N115" s="33">
        <v>37653</v>
      </c>
      <c r="O115" s="21" t="s">
        <v>37</v>
      </c>
      <c r="P115" s="10"/>
      <c r="Q115" s="10"/>
    </row>
    <row r="116" spans="1:17" ht="12.75" hidden="1">
      <c r="A116" s="10"/>
      <c r="B116" s="21">
        <v>16</v>
      </c>
      <c r="C116" s="10"/>
      <c r="D116" s="10"/>
      <c r="E116" s="10"/>
      <c r="F116" s="10"/>
      <c r="G116" s="10"/>
      <c r="H116" s="10"/>
      <c r="I116" s="10"/>
      <c r="J116" s="10"/>
      <c r="K116" s="10">
        <v>0.237</v>
      </c>
      <c r="L116" s="10"/>
      <c r="M116" s="10"/>
      <c r="N116" s="33">
        <v>37653</v>
      </c>
      <c r="O116" s="21" t="s">
        <v>37</v>
      </c>
      <c r="P116" s="10"/>
      <c r="Q116" s="10"/>
    </row>
    <row r="117" spans="1:17" ht="13.5" hidden="1" thickBot="1">
      <c r="A117" s="30"/>
      <c r="B117" s="35">
        <v>18</v>
      </c>
      <c r="C117" s="30"/>
      <c r="D117" s="30"/>
      <c r="E117" s="30"/>
      <c r="F117" s="30"/>
      <c r="G117" s="30"/>
      <c r="H117" s="30"/>
      <c r="I117" s="30"/>
      <c r="J117" s="30"/>
      <c r="K117" s="35">
        <v>0.23</v>
      </c>
      <c r="L117" s="35"/>
      <c r="M117" s="30"/>
      <c r="N117" s="34">
        <v>37653</v>
      </c>
      <c r="O117" s="35" t="s">
        <v>37</v>
      </c>
      <c r="P117" s="30"/>
      <c r="Q117" s="30"/>
    </row>
    <row r="118" spans="1:17" ht="12.75" hidden="1">
      <c r="A118" s="10" t="s">
        <v>36</v>
      </c>
      <c r="B118" s="21">
        <v>12</v>
      </c>
      <c r="C118" s="10"/>
      <c r="D118" s="10"/>
      <c r="E118" s="10"/>
      <c r="F118" s="10">
        <v>0.416</v>
      </c>
      <c r="G118" s="10"/>
      <c r="H118" s="10"/>
      <c r="I118" s="10"/>
      <c r="J118" s="10"/>
      <c r="K118" s="21"/>
      <c r="L118" s="21"/>
      <c r="M118" s="10"/>
      <c r="N118" s="33">
        <v>38047</v>
      </c>
      <c r="O118" s="21" t="s">
        <v>37</v>
      </c>
      <c r="P118" s="10"/>
      <c r="Q118" s="10" t="s">
        <v>39</v>
      </c>
    </row>
    <row r="119" spans="1:17" ht="12.75" hidden="1">
      <c r="A119" s="10" t="s">
        <v>38</v>
      </c>
      <c r="B119" s="21">
        <v>15</v>
      </c>
      <c r="C119" s="10"/>
      <c r="D119" s="10"/>
      <c r="E119" s="10"/>
      <c r="F119" s="10">
        <v>0.4</v>
      </c>
      <c r="G119" s="10"/>
      <c r="H119" s="10"/>
      <c r="I119" s="10"/>
      <c r="J119" s="10"/>
      <c r="K119" s="21"/>
      <c r="L119" s="21"/>
      <c r="M119" s="10"/>
      <c r="N119" s="33">
        <v>38047</v>
      </c>
      <c r="O119" s="21" t="s">
        <v>37</v>
      </c>
      <c r="P119" s="10"/>
      <c r="Q119" s="10" t="s">
        <v>39</v>
      </c>
    </row>
    <row r="120" spans="1:17" ht="12.75" hidden="1">
      <c r="A120" s="10"/>
      <c r="B120" s="21">
        <v>18</v>
      </c>
      <c r="C120" s="10"/>
      <c r="D120" s="10"/>
      <c r="E120" s="10"/>
      <c r="F120" s="10">
        <v>0.386</v>
      </c>
      <c r="G120" s="10"/>
      <c r="H120" s="10"/>
      <c r="I120" s="10"/>
      <c r="J120" s="10"/>
      <c r="K120" s="21"/>
      <c r="L120" s="21"/>
      <c r="M120" s="10"/>
      <c r="N120" s="33">
        <v>38047</v>
      </c>
      <c r="O120" s="21" t="s">
        <v>37</v>
      </c>
      <c r="P120" s="10"/>
      <c r="Q120" s="10" t="s">
        <v>39</v>
      </c>
    </row>
    <row r="121" spans="2:17" ht="12.75" hidden="1">
      <c r="B121" s="21">
        <v>12</v>
      </c>
      <c r="C121" s="10"/>
      <c r="D121" s="10"/>
      <c r="E121" s="10"/>
      <c r="F121" s="21">
        <v>0.351</v>
      </c>
      <c r="G121" s="10"/>
      <c r="H121" s="10"/>
      <c r="I121" s="10"/>
      <c r="J121" s="10"/>
      <c r="K121" s="21"/>
      <c r="L121" s="21"/>
      <c r="M121" s="10"/>
      <c r="N121" s="33">
        <v>38047</v>
      </c>
      <c r="O121" s="21" t="s">
        <v>37</v>
      </c>
      <c r="P121" s="10"/>
      <c r="Q121" s="10" t="s">
        <v>40</v>
      </c>
    </row>
    <row r="122" spans="1:17" ht="12.75" hidden="1">
      <c r="A122" s="10"/>
      <c r="B122" s="21">
        <v>15</v>
      </c>
      <c r="C122" s="10"/>
      <c r="D122" s="10"/>
      <c r="E122" s="10"/>
      <c r="F122" s="10">
        <v>0.335</v>
      </c>
      <c r="G122" s="10"/>
      <c r="H122" s="10"/>
      <c r="I122" s="10"/>
      <c r="J122" s="10"/>
      <c r="K122" s="21"/>
      <c r="L122" s="21"/>
      <c r="M122" s="10"/>
      <c r="N122" s="33">
        <v>38047</v>
      </c>
      <c r="O122" s="21" t="s">
        <v>37</v>
      </c>
      <c r="P122" s="10"/>
      <c r="Q122" s="10" t="s">
        <v>40</v>
      </c>
    </row>
    <row r="123" spans="2:17" s="12" customFormat="1" ht="12.75" hidden="1">
      <c r="B123" s="23">
        <v>18</v>
      </c>
      <c r="F123" s="23">
        <v>0.32</v>
      </c>
      <c r="K123" s="23"/>
      <c r="L123" s="23"/>
      <c r="N123" s="36">
        <v>38047</v>
      </c>
      <c r="O123" s="23" t="s">
        <v>37</v>
      </c>
      <c r="Q123" s="12" t="s">
        <v>40</v>
      </c>
    </row>
    <row r="124" spans="1:17" ht="12.75" hidden="1">
      <c r="A124" s="10" t="s">
        <v>41</v>
      </c>
      <c r="B124" s="21">
        <v>19</v>
      </c>
      <c r="C124" s="10"/>
      <c r="D124" s="10"/>
      <c r="E124" s="10">
        <v>0.39</v>
      </c>
      <c r="F124" s="10"/>
      <c r="G124" s="10"/>
      <c r="H124" s="10"/>
      <c r="I124" s="10"/>
      <c r="J124" s="10"/>
      <c r="K124" s="21"/>
      <c r="L124" s="21"/>
      <c r="M124" s="10"/>
      <c r="N124" s="36">
        <v>38504</v>
      </c>
      <c r="O124" s="21" t="s">
        <v>37</v>
      </c>
      <c r="P124" s="10"/>
      <c r="Q124" s="10"/>
    </row>
    <row r="125" spans="1:17" ht="12.75">
      <c r="A125" s="10" t="s">
        <v>42</v>
      </c>
      <c r="B125" s="10"/>
      <c r="C125" s="10"/>
      <c r="D125" s="10"/>
      <c r="E125" s="10"/>
      <c r="F125" s="10"/>
      <c r="G125" s="10"/>
      <c r="H125" s="10"/>
      <c r="I125" s="10"/>
      <c r="J125" s="10"/>
      <c r="K125" s="10"/>
      <c r="L125" s="10"/>
      <c r="M125" s="10"/>
      <c r="O125" s="10"/>
      <c r="P125" s="10"/>
      <c r="Q125" s="10"/>
    </row>
    <row r="126" spans="1:17" ht="12.75">
      <c r="A126" s="10"/>
      <c r="B126" s="10"/>
      <c r="C126" s="10"/>
      <c r="D126" s="10"/>
      <c r="E126" s="10"/>
      <c r="F126" s="10"/>
      <c r="G126" s="10"/>
      <c r="H126" s="10"/>
      <c r="I126" s="10"/>
      <c r="J126" s="10"/>
      <c r="K126" s="10"/>
      <c r="L126" s="10"/>
      <c r="M126" s="10"/>
      <c r="O126" s="10"/>
      <c r="P126" s="10"/>
      <c r="Q126" s="10"/>
    </row>
    <row r="127" spans="1:17" ht="12.75">
      <c r="A127" s="10"/>
      <c r="B127" s="10"/>
      <c r="C127" s="10"/>
      <c r="D127" s="10"/>
      <c r="E127" s="10"/>
      <c r="F127" s="10"/>
      <c r="G127" s="10"/>
      <c r="H127" s="10"/>
      <c r="I127" s="10"/>
      <c r="J127" s="10"/>
      <c r="K127" s="10"/>
      <c r="L127" s="10"/>
      <c r="M127" s="10"/>
      <c r="O127" s="10"/>
      <c r="P127" s="10"/>
      <c r="Q127" s="10"/>
    </row>
    <row r="129" ht="12.75">
      <c r="A129" t="s">
        <v>43</v>
      </c>
    </row>
    <row r="130" ht="12.75">
      <c r="A130" t="s">
        <v>44</v>
      </c>
    </row>
  </sheetData>
  <sheetProtection/>
  <mergeCells count="2">
    <mergeCell ref="C78:M78"/>
    <mergeCell ref="A17:J26"/>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E165"/>
  <sheetViews>
    <sheetView zoomScalePageLayoutView="0" workbookViewId="0" topLeftCell="A40">
      <selection activeCell="G14" sqref="G14"/>
    </sheetView>
  </sheetViews>
  <sheetFormatPr defaultColWidth="9.140625" defaultRowHeight="12.75"/>
  <cols>
    <col min="1" max="1" width="13.00390625" style="0" customWidth="1"/>
    <col min="2" max="2" width="13.140625" style="0" customWidth="1"/>
    <col min="3" max="3" width="8.28125" style="0" bestFit="1" customWidth="1"/>
    <col min="4" max="4" width="12.140625" style="0" customWidth="1"/>
    <col min="5" max="5" width="12.28125" style="0" customWidth="1"/>
    <col min="6" max="6" width="13.00390625" style="0" customWidth="1"/>
    <col min="7" max="7" width="14.28125" style="0" customWidth="1"/>
    <col min="8" max="8" width="15.00390625" style="0" customWidth="1"/>
    <col min="9" max="9" width="14.57421875" style="0" customWidth="1"/>
    <col min="10" max="10" width="14.00390625" style="0" customWidth="1"/>
    <col min="11" max="12" width="13.7109375" style="0" customWidth="1"/>
    <col min="13" max="13" width="25.57421875" style="0" customWidth="1"/>
    <col min="14" max="14" width="27.7109375" style="0" customWidth="1"/>
    <col min="15" max="15" width="23.7109375" style="0" customWidth="1"/>
  </cols>
  <sheetData>
    <row r="1" spans="1:25" ht="12.75">
      <c r="A1" s="1" t="s">
        <v>7</v>
      </c>
      <c r="Y1" s="39" t="s">
        <v>45</v>
      </c>
    </row>
    <row r="3" spans="1:30" ht="13.5" thickBo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152</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180</v>
      </c>
      <c r="B9" s="5">
        <v>145</v>
      </c>
      <c r="C9" s="6" t="s">
        <v>68</v>
      </c>
      <c r="D9" s="5">
        <v>126.6</v>
      </c>
      <c r="E9" s="166">
        <v>0.73</v>
      </c>
      <c r="F9" s="142">
        <f>E9*44/36</f>
        <v>0.8922222222222221</v>
      </c>
      <c r="L9" s="5">
        <v>66.5</v>
      </c>
      <c r="M9" s="167">
        <v>0.15</v>
      </c>
      <c r="N9" s="168" t="s">
        <v>72</v>
      </c>
      <c r="O9" s="169" t="s">
        <v>70</v>
      </c>
      <c r="P9" s="169" t="s">
        <v>89</v>
      </c>
    </row>
    <row r="10" spans="1:16" s="4" customFormat="1" ht="12.75">
      <c r="A10" s="5">
        <v>180</v>
      </c>
      <c r="B10" s="5">
        <v>145</v>
      </c>
      <c r="C10" s="6" t="s">
        <v>68</v>
      </c>
      <c r="D10" s="5">
        <v>139.3</v>
      </c>
      <c r="E10" s="170">
        <v>0.66</v>
      </c>
      <c r="F10" s="142">
        <f aca="true" t="shared" si="0" ref="F10:F37">E10*44/36</f>
        <v>0.8066666666666668</v>
      </c>
      <c r="L10" s="5">
        <v>67.9</v>
      </c>
      <c r="M10" s="167">
        <v>0.15</v>
      </c>
      <c r="N10" s="168" t="s">
        <v>72</v>
      </c>
      <c r="O10" s="169" t="s">
        <v>70</v>
      </c>
      <c r="P10" s="169" t="s">
        <v>89</v>
      </c>
    </row>
    <row r="11" spans="1:16" s="4" customFormat="1" ht="12.75">
      <c r="A11" s="5">
        <v>180</v>
      </c>
      <c r="B11" s="5">
        <v>145</v>
      </c>
      <c r="C11" s="6" t="s">
        <v>68</v>
      </c>
      <c r="D11" s="5">
        <v>127.8</v>
      </c>
      <c r="E11" s="170">
        <v>0.6</v>
      </c>
      <c r="F11" s="142">
        <f t="shared" si="0"/>
        <v>0.7333333333333333</v>
      </c>
      <c r="L11" s="5">
        <v>65.7</v>
      </c>
      <c r="M11" s="167">
        <v>0.15</v>
      </c>
      <c r="N11" s="168" t="s">
        <v>72</v>
      </c>
      <c r="O11" s="169" t="s">
        <v>70</v>
      </c>
      <c r="P11" s="169" t="s">
        <v>89</v>
      </c>
    </row>
    <row r="12" spans="1:16" s="4" customFormat="1" ht="12.75">
      <c r="A12" s="57">
        <v>180</v>
      </c>
      <c r="B12" s="57">
        <v>145</v>
      </c>
      <c r="C12" s="17" t="s">
        <v>68</v>
      </c>
      <c r="D12" s="57">
        <v>132.7</v>
      </c>
      <c r="E12" s="171">
        <v>0.67</v>
      </c>
      <c r="F12" s="142">
        <f t="shared" si="0"/>
        <v>0.8188888888888889</v>
      </c>
      <c r="G12" s="21"/>
      <c r="H12" s="21"/>
      <c r="I12" s="21"/>
      <c r="J12" s="21"/>
      <c r="K12" s="21"/>
      <c r="L12" s="57">
        <v>67</v>
      </c>
      <c r="M12" s="93">
        <v>0.15</v>
      </c>
      <c r="N12" s="172" t="s">
        <v>72</v>
      </c>
      <c r="O12" s="58" t="s">
        <v>70</v>
      </c>
      <c r="P12" s="58" t="s">
        <v>89</v>
      </c>
    </row>
    <row r="13" spans="1:16" s="4" customFormat="1" ht="12.75">
      <c r="A13" s="57">
        <v>180</v>
      </c>
      <c r="B13" s="57">
        <v>150</v>
      </c>
      <c r="C13" s="17" t="s">
        <v>71</v>
      </c>
      <c r="D13" s="57">
        <v>115.7</v>
      </c>
      <c r="E13" s="57">
        <v>0.4</v>
      </c>
      <c r="F13" s="142">
        <f t="shared" si="0"/>
        <v>0.48888888888888893</v>
      </c>
      <c r="G13" s="21"/>
      <c r="H13" s="21"/>
      <c r="I13" s="21"/>
      <c r="J13" s="21"/>
      <c r="K13" s="21"/>
      <c r="L13" s="57">
        <v>52.9</v>
      </c>
      <c r="M13" s="93">
        <v>0.15</v>
      </c>
      <c r="N13" s="172" t="s">
        <v>77</v>
      </c>
      <c r="O13" s="58" t="s">
        <v>78</v>
      </c>
      <c r="P13" s="58" t="s">
        <v>305</v>
      </c>
    </row>
    <row r="14" spans="1:16" s="4" customFormat="1" ht="12.75">
      <c r="A14" s="57">
        <v>180</v>
      </c>
      <c r="B14" s="57">
        <v>150</v>
      </c>
      <c r="C14" s="17" t="s">
        <v>71</v>
      </c>
      <c r="D14" s="57">
        <v>56.8</v>
      </c>
      <c r="E14" s="57">
        <v>0.2</v>
      </c>
      <c r="F14" s="142">
        <f t="shared" si="0"/>
        <v>0.24444444444444446</v>
      </c>
      <c r="G14" s="57">
        <v>0.031</v>
      </c>
      <c r="H14" s="57">
        <v>0.00082</v>
      </c>
      <c r="I14" s="57"/>
      <c r="J14" s="57"/>
      <c r="K14" s="57"/>
      <c r="L14" s="57">
        <f>38+21/60</f>
        <v>38.35</v>
      </c>
      <c r="M14" s="93">
        <v>0.15</v>
      </c>
      <c r="N14" s="172" t="s">
        <v>80</v>
      </c>
      <c r="O14" s="58" t="s">
        <v>85</v>
      </c>
      <c r="P14" s="58" t="s">
        <v>106</v>
      </c>
    </row>
    <row r="15" spans="1:16" s="4" customFormat="1" ht="12.75">
      <c r="A15" s="57">
        <v>180</v>
      </c>
      <c r="B15" s="57">
        <v>150</v>
      </c>
      <c r="C15" s="17" t="s">
        <v>71</v>
      </c>
      <c r="D15" s="57">
        <v>51.1</v>
      </c>
      <c r="E15" s="57">
        <v>0.12</v>
      </c>
      <c r="F15" s="142">
        <f t="shared" si="0"/>
        <v>0.14666666666666664</v>
      </c>
      <c r="G15" s="57">
        <v>0.03</v>
      </c>
      <c r="H15" s="57">
        <v>0.00082</v>
      </c>
      <c r="I15" s="57"/>
      <c r="J15" s="57"/>
      <c r="K15" s="57"/>
      <c r="L15" s="57">
        <f>35.75</f>
        <v>35.75</v>
      </c>
      <c r="M15" s="93">
        <v>0.15</v>
      </c>
      <c r="N15" s="172" t="s">
        <v>81</v>
      </c>
      <c r="O15" s="58" t="s">
        <v>85</v>
      </c>
      <c r="P15" s="58" t="s">
        <v>106</v>
      </c>
    </row>
    <row r="16" spans="1:16" s="4" customFormat="1" ht="12.75">
      <c r="A16" s="57">
        <v>180</v>
      </c>
      <c r="B16" s="17">
        <v>150</v>
      </c>
      <c r="C16" s="17" t="s">
        <v>71</v>
      </c>
      <c r="D16" s="57">
        <v>79.9</v>
      </c>
      <c r="E16" s="57">
        <v>0.18</v>
      </c>
      <c r="F16" s="142">
        <f t="shared" si="0"/>
        <v>0.22</v>
      </c>
      <c r="G16" s="57">
        <v>0.052</v>
      </c>
      <c r="H16" s="57">
        <v>0.00071</v>
      </c>
      <c r="I16" s="57"/>
      <c r="J16" s="57"/>
      <c r="K16" s="57"/>
      <c r="L16" s="57">
        <f>40+33/60</f>
        <v>40.55</v>
      </c>
      <c r="M16" s="93">
        <v>0.15</v>
      </c>
      <c r="N16" s="173" t="s">
        <v>97</v>
      </c>
      <c r="O16" s="21"/>
      <c r="P16" s="58" t="s">
        <v>98</v>
      </c>
    </row>
    <row r="17" spans="1:16" s="4" customFormat="1" ht="12.75">
      <c r="A17" s="57">
        <v>180</v>
      </c>
      <c r="B17" s="17">
        <v>150</v>
      </c>
      <c r="C17" s="17" t="s">
        <v>71</v>
      </c>
      <c r="D17" s="57">
        <v>114.8</v>
      </c>
      <c r="E17" s="57">
        <v>0.17</v>
      </c>
      <c r="F17" s="142">
        <f t="shared" si="0"/>
        <v>0.20777777777777778</v>
      </c>
      <c r="L17" s="5">
        <v>45</v>
      </c>
      <c r="M17" s="93">
        <v>0.15</v>
      </c>
      <c r="N17" s="94" t="s">
        <v>100</v>
      </c>
      <c r="O17" s="4" t="s">
        <v>146</v>
      </c>
      <c r="P17" s="58" t="s">
        <v>306</v>
      </c>
    </row>
    <row r="18" spans="1:16" s="4" customFormat="1" ht="12.75">
      <c r="A18" s="57">
        <v>180</v>
      </c>
      <c r="B18" s="17">
        <v>150</v>
      </c>
      <c r="C18" s="17" t="s">
        <v>71</v>
      </c>
      <c r="D18" s="57">
        <v>103.1</v>
      </c>
      <c r="E18" s="57">
        <v>0.07</v>
      </c>
      <c r="F18" s="142">
        <f t="shared" si="0"/>
        <v>0.08555555555555555</v>
      </c>
      <c r="G18" s="57"/>
      <c r="H18" s="57"/>
      <c r="I18" s="57"/>
      <c r="J18" s="57"/>
      <c r="K18" s="57"/>
      <c r="L18" s="57">
        <v>40.7</v>
      </c>
      <c r="M18" s="93">
        <v>0.15</v>
      </c>
      <c r="N18" s="94" t="s">
        <v>100</v>
      </c>
      <c r="O18" s="21" t="s">
        <v>147</v>
      </c>
      <c r="P18" s="58" t="s">
        <v>306</v>
      </c>
    </row>
    <row r="19" spans="1:16" s="4" customFormat="1" ht="12.75">
      <c r="A19" s="57">
        <v>180</v>
      </c>
      <c r="B19" s="17">
        <v>140</v>
      </c>
      <c r="C19" s="17" t="s">
        <v>71</v>
      </c>
      <c r="D19" s="57">
        <v>98</v>
      </c>
      <c r="E19" s="57">
        <v>0.12</v>
      </c>
      <c r="F19" s="142">
        <f t="shared" si="0"/>
        <v>0.14666666666666664</v>
      </c>
      <c r="G19" s="57"/>
      <c r="H19" s="57"/>
      <c r="I19" s="57"/>
      <c r="J19" s="57"/>
      <c r="K19" s="57"/>
      <c r="L19" s="57">
        <v>37.5</v>
      </c>
      <c r="M19" s="93">
        <v>0.15</v>
      </c>
      <c r="N19" s="94" t="s">
        <v>100</v>
      </c>
      <c r="O19" s="21" t="s">
        <v>148</v>
      </c>
      <c r="P19" s="58" t="s">
        <v>306</v>
      </c>
    </row>
    <row r="20" spans="1:16" s="4" customFormat="1" ht="12.75">
      <c r="A20" s="57">
        <v>180</v>
      </c>
      <c r="B20" s="17">
        <v>150</v>
      </c>
      <c r="C20" s="17" t="s">
        <v>71</v>
      </c>
      <c r="D20" s="57">
        <v>56.9</v>
      </c>
      <c r="E20" s="57">
        <v>0.24</v>
      </c>
      <c r="F20" s="142">
        <f t="shared" si="0"/>
        <v>0.2933333333333333</v>
      </c>
      <c r="G20" s="57">
        <f>(0.083+0.075)/2</f>
        <v>0.079</v>
      </c>
      <c r="H20" s="57">
        <f>(0.0013+0.0014)/2</f>
        <v>0.00135</v>
      </c>
      <c r="I20" s="57">
        <v>0.078</v>
      </c>
      <c r="J20" s="57">
        <v>0.002</v>
      </c>
      <c r="K20" s="57">
        <v>0.0012</v>
      </c>
      <c r="L20" s="57">
        <v>27.5</v>
      </c>
      <c r="M20" s="93">
        <v>0.15</v>
      </c>
      <c r="N20" s="17" t="s">
        <v>104</v>
      </c>
      <c r="O20" s="21"/>
      <c r="P20" s="58" t="s">
        <v>103</v>
      </c>
    </row>
    <row r="21" spans="1:16" s="4" customFormat="1" ht="12.75">
      <c r="A21" s="57">
        <v>180</v>
      </c>
      <c r="B21" s="21"/>
      <c r="C21" s="58" t="s">
        <v>129</v>
      </c>
      <c r="D21" s="57">
        <v>93.5</v>
      </c>
      <c r="E21" s="57">
        <v>0.236</v>
      </c>
      <c r="F21" s="142">
        <f t="shared" si="0"/>
        <v>0.28844444444444445</v>
      </c>
      <c r="G21" s="57">
        <v>0.094</v>
      </c>
      <c r="H21" s="57">
        <v>0.0015</v>
      </c>
      <c r="I21" s="57">
        <v>0.141</v>
      </c>
      <c r="J21" s="57">
        <v>0.0008</v>
      </c>
      <c r="K21" s="57">
        <v>0.0012</v>
      </c>
      <c r="L21" s="21"/>
      <c r="M21" s="174">
        <v>0.175</v>
      </c>
      <c r="N21" s="21"/>
      <c r="O21" s="21"/>
      <c r="P21" s="58" t="s">
        <v>125</v>
      </c>
    </row>
    <row r="22" spans="1:16" s="4" customFormat="1" ht="12.75">
      <c r="A22" s="57">
        <v>180</v>
      </c>
      <c r="B22" s="21"/>
      <c r="C22" s="17" t="s">
        <v>71</v>
      </c>
      <c r="D22" s="57">
        <v>53</v>
      </c>
      <c r="E22" s="57">
        <v>0.241</v>
      </c>
      <c r="F22" s="142">
        <f t="shared" si="0"/>
        <v>0.2945555555555555</v>
      </c>
      <c r="G22" s="57"/>
      <c r="H22" s="57"/>
      <c r="I22" s="57"/>
      <c r="J22" s="57"/>
      <c r="K22" s="57"/>
      <c r="L22" s="57">
        <v>40</v>
      </c>
      <c r="M22" s="174">
        <v>0.13</v>
      </c>
      <c r="N22" s="57">
        <v>1996</v>
      </c>
      <c r="O22" s="21" t="s">
        <v>489</v>
      </c>
      <c r="P22" s="58" t="s">
        <v>488</v>
      </c>
    </row>
    <row r="23" spans="1:16" s="4" customFormat="1" ht="12.75">
      <c r="A23" s="57">
        <v>200</v>
      </c>
      <c r="B23" s="57">
        <v>150</v>
      </c>
      <c r="C23" s="17" t="s">
        <v>71</v>
      </c>
      <c r="D23" s="57">
        <v>76</v>
      </c>
      <c r="E23" s="57">
        <v>0.2</v>
      </c>
      <c r="F23" s="142">
        <f t="shared" si="0"/>
        <v>0.24444444444444446</v>
      </c>
      <c r="G23" s="57">
        <v>0.057</v>
      </c>
      <c r="H23" s="57">
        <v>0.0014</v>
      </c>
      <c r="I23" s="57"/>
      <c r="J23" s="57"/>
      <c r="K23" s="57"/>
      <c r="L23" s="57">
        <v>30.25</v>
      </c>
      <c r="M23" s="93">
        <v>0.15</v>
      </c>
      <c r="N23" s="172" t="s">
        <v>81</v>
      </c>
      <c r="O23" s="58" t="s">
        <v>86</v>
      </c>
      <c r="P23" s="58" t="s">
        <v>108</v>
      </c>
    </row>
    <row r="24" spans="1:16" s="4" customFormat="1" ht="12.75">
      <c r="A24" s="57">
        <v>200</v>
      </c>
      <c r="B24" s="57">
        <v>185</v>
      </c>
      <c r="C24" s="17" t="s">
        <v>68</v>
      </c>
      <c r="D24" s="57">
        <v>81</v>
      </c>
      <c r="E24" s="57">
        <v>0.2</v>
      </c>
      <c r="F24" s="142">
        <f t="shared" si="0"/>
        <v>0.24444444444444446</v>
      </c>
      <c r="G24" s="57">
        <v>0.098</v>
      </c>
      <c r="H24" s="57">
        <v>0.0015</v>
      </c>
      <c r="I24" s="57"/>
      <c r="J24" s="57"/>
      <c r="K24" s="57"/>
      <c r="L24" s="57">
        <v>45.2</v>
      </c>
      <c r="M24" s="93">
        <v>0.15</v>
      </c>
      <c r="N24" s="172" t="s">
        <v>82</v>
      </c>
      <c r="O24" s="58" t="s">
        <v>87</v>
      </c>
      <c r="P24" s="58" t="s">
        <v>89</v>
      </c>
    </row>
    <row r="25" spans="1:16" s="4" customFormat="1" ht="12.75">
      <c r="A25" s="57">
        <v>200</v>
      </c>
      <c r="B25" s="57">
        <v>185</v>
      </c>
      <c r="C25" s="17" t="s">
        <v>68</v>
      </c>
      <c r="D25" s="57">
        <v>73.7</v>
      </c>
      <c r="E25" s="57">
        <v>0.15</v>
      </c>
      <c r="F25" s="142">
        <f t="shared" si="0"/>
        <v>0.18333333333333332</v>
      </c>
      <c r="G25" s="57">
        <v>0.175</v>
      </c>
      <c r="H25" s="57">
        <v>0.0016</v>
      </c>
      <c r="I25" s="57"/>
      <c r="J25" s="57"/>
      <c r="K25" s="57"/>
      <c r="L25" s="57">
        <v>36.5</v>
      </c>
      <c r="M25" s="93">
        <v>0.15</v>
      </c>
      <c r="N25" s="172" t="s">
        <v>83</v>
      </c>
      <c r="O25" s="58" t="s">
        <v>87</v>
      </c>
      <c r="P25" s="58" t="s">
        <v>89</v>
      </c>
    </row>
    <row r="26" spans="1:16" s="4" customFormat="1" ht="12.75">
      <c r="A26" s="57">
        <v>200</v>
      </c>
      <c r="B26" s="57">
        <v>185</v>
      </c>
      <c r="C26" s="17" t="s">
        <v>68</v>
      </c>
      <c r="D26" s="57">
        <v>100.1</v>
      </c>
      <c r="E26" s="57">
        <v>0.3</v>
      </c>
      <c r="F26" s="142">
        <f t="shared" si="0"/>
        <v>0.36666666666666664</v>
      </c>
      <c r="G26" s="57">
        <v>0.154</v>
      </c>
      <c r="H26" s="57">
        <v>0.0018</v>
      </c>
      <c r="I26" s="57"/>
      <c r="J26" s="57"/>
      <c r="K26" s="57"/>
      <c r="L26" s="57">
        <v>47.4</v>
      </c>
      <c r="M26" s="93">
        <v>0.15</v>
      </c>
      <c r="N26" s="172" t="s">
        <v>83</v>
      </c>
      <c r="O26" s="58" t="s">
        <v>88</v>
      </c>
      <c r="P26" s="58" t="s">
        <v>89</v>
      </c>
    </row>
    <row r="27" spans="1:16" s="4" customFormat="1" ht="12.75">
      <c r="A27" s="57">
        <v>200</v>
      </c>
      <c r="B27" s="21"/>
      <c r="C27" s="58" t="s">
        <v>129</v>
      </c>
      <c r="D27" s="57">
        <v>83.9</v>
      </c>
      <c r="E27" s="57">
        <v>0.214</v>
      </c>
      <c r="F27" s="142">
        <f t="shared" si="0"/>
        <v>0.26155555555555554</v>
      </c>
      <c r="G27" s="57">
        <v>0.044</v>
      </c>
      <c r="H27" s="57">
        <v>0.0008</v>
      </c>
      <c r="I27" s="57">
        <v>0.133</v>
      </c>
      <c r="J27" s="57">
        <v>0.0008</v>
      </c>
      <c r="K27" s="57">
        <v>0.0024</v>
      </c>
      <c r="L27" s="21"/>
      <c r="M27" s="174">
        <v>0.15</v>
      </c>
      <c r="N27" s="21"/>
      <c r="O27" s="21"/>
      <c r="P27" s="58" t="s">
        <v>125</v>
      </c>
    </row>
    <row r="28" spans="1:16" s="4" customFormat="1" ht="13.5" thickBot="1">
      <c r="A28" s="87">
        <v>200</v>
      </c>
      <c r="B28" s="35"/>
      <c r="C28" s="91" t="s">
        <v>129</v>
      </c>
      <c r="D28" s="87">
        <v>98.6</v>
      </c>
      <c r="E28" s="87">
        <v>0.239</v>
      </c>
      <c r="F28" s="175">
        <f>E28*44/36</f>
        <v>0.2921111111111111</v>
      </c>
      <c r="G28" s="87">
        <v>0.077</v>
      </c>
      <c r="H28" s="87">
        <v>0.0014</v>
      </c>
      <c r="I28" s="87">
        <v>0.128</v>
      </c>
      <c r="J28" s="87">
        <v>0.001</v>
      </c>
      <c r="K28" s="87">
        <v>0.0011</v>
      </c>
      <c r="L28" s="35"/>
      <c r="M28" s="176">
        <v>0.15</v>
      </c>
      <c r="N28" s="35"/>
      <c r="O28" s="35"/>
      <c r="P28" s="58" t="s">
        <v>125</v>
      </c>
    </row>
    <row r="29" spans="1:16" s="4" customFormat="1" ht="12.75">
      <c r="A29" s="57">
        <v>215</v>
      </c>
      <c r="B29" s="57">
        <v>165</v>
      </c>
      <c r="C29" s="17" t="s">
        <v>71</v>
      </c>
      <c r="D29" s="57">
        <v>112.9</v>
      </c>
      <c r="E29" s="57">
        <v>0.34</v>
      </c>
      <c r="F29" s="142">
        <f t="shared" si="0"/>
        <v>0.41555555555555557</v>
      </c>
      <c r="G29" s="21"/>
      <c r="H29" s="21"/>
      <c r="I29" s="21"/>
      <c r="J29" s="21"/>
      <c r="K29" s="21"/>
      <c r="L29" s="57">
        <v>32.7</v>
      </c>
      <c r="M29" s="93">
        <v>0.15</v>
      </c>
      <c r="N29" s="172" t="s">
        <v>77</v>
      </c>
      <c r="O29" s="58" t="s">
        <v>78</v>
      </c>
      <c r="P29" s="58" t="s">
        <v>305</v>
      </c>
    </row>
    <row r="30" spans="1:16" s="4" customFormat="1" ht="12.75">
      <c r="A30" s="57">
        <v>215</v>
      </c>
      <c r="B30" s="58" t="s">
        <v>105</v>
      </c>
      <c r="C30" s="17" t="s">
        <v>71</v>
      </c>
      <c r="D30" s="57">
        <v>119.7</v>
      </c>
      <c r="E30" s="57">
        <v>0.34</v>
      </c>
      <c r="F30" s="142">
        <f t="shared" si="0"/>
        <v>0.41555555555555557</v>
      </c>
      <c r="G30" s="57">
        <v>0.138</v>
      </c>
      <c r="H30" s="57">
        <v>0.0043</v>
      </c>
      <c r="I30" s="57"/>
      <c r="J30" s="57"/>
      <c r="K30" s="57">
        <v>0.0027</v>
      </c>
      <c r="L30" s="57">
        <v>38</v>
      </c>
      <c r="M30" s="93">
        <v>0.15</v>
      </c>
      <c r="N30" s="172" t="s">
        <v>77</v>
      </c>
      <c r="O30" s="58" t="s">
        <v>79</v>
      </c>
      <c r="P30" s="58" t="s">
        <v>107</v>
      </c>
    </row>
    <row r="31" spans="1:16" s="4" customFormat="1" ht="12.75">
      <c r="A31" s="57">
        <v>225</v>
      </c>
      <c r="B31" s="57">
        <v>170</v>
      </c>
      <c r="C31" s="17" t="s">
        <v>68</v>
      </c>
      <c r="D31" s="57">
        <v>82</v>
      </c>
      <c r="E31" s="57">
        <v>0.28</v>
      </c>
      <c r="F31" s="142">
        <f t="shared" si="0"/>
        <v>0.3422222222222222</v>
      </c>
      <c r="G31" s="57">
        <v>0.189</v>
      </c>
      <c r="H31" s="57">
        <v>0.0035</v>
      </c>
      <c r="I31" s="57"/>
      <c r="J31" s="57"/>
      <c r="K31" s="57"/>
      <c r="L31" s="57">
        <v>31.3</v>
      </c>
      <c r="M31" s="93">
        <v>0.15</v>
      </c>
      <c r="N31" s="172" t="s">
        <v>83</v>
      </c>
      <c r="O31" s="58" t="s">
        <v>87</v>
      </c>
      <c r="P31" s="58" t="s">
        <v>89</v>
      </c>
    </row>
    <row r="32" spans="1:16" s="4" customFormat="1" ht="12.75">
      <c r="A32" s="57">
        <v>225</v>
      </c>
      <c r="B32" s="57">
        <v>170</v>
      </c>
      <c r="C32" s="17" t="s">
        <v>68</v>
      </c>
      <c r="D32" s="57">
        <v>77.4</v>
      </c>
      <c r="E32" s="57">
        <v>0.27</v>
      </c>
      <c r="F32" s="142">
        <f t="shared" si="0"/>
        <v>0.33</v>
      </c>
      <c r="G32" s="57">
        <v>0.167</v>
      </c>
      <c r="H32" s="57">
        <v>0.0034</v>
      </c>
      <c r="I32" s="57"/>
      <c r="J32" s="57"/>
      <c r="K32" s="57"/>
      <c r="L32" s="57">
        <v>28.6</v>
      </c>
      <c r="M32" s="93">
        <v>0.15</v>
      </c>
      <c r="N32" s="172" t="s">
        <v>83</v>
      </c>
      <c r="O32" s="58" t="s">
        <v>87</v>
      </c>
      <c r="P32" s="58" t="s">
        <v>89</v>
      </c>
    </row>
    <row r="33" spans="1:16" s="4" customFormat="1" ht="12.75">
      <c r="A33" s="57">
        <v>225</v>
      </c>
      <c r="B33" s="57">
        <v>170</v>
      </c>
      <c r="C33" s="17" t="s">
        <v>68</v>
      </c>
      <c r="D33" s="57">
        <v>101.7</v>
      </c>
      <c r="E33" s="57">
        <v>0.31</v>
      </c>
      <c r="F33" s="142">
        <f t="shared" si="0"/>
        <v>0.3788888888888889</v>
      </c>
      <c r="G33" s="57">
        <v>0.24</v>
      </c>
      <c r="H33" s="57">
        <v>0.004</v>
      </c>
      <c r="I33" s="57"/>
      <c r="J33" s="57"/>
      <c r="K33" s="57"/>
      <c r="L33" s="57">
        <v>33.5</v>
      </c>
      <c r="M33" s="93">
        <v>0.15</v>
      </c>
      <c r="N33" s="172" t="s">
        <v>84</v>
      </c>
      <c r="O33" s="58" t="s">
        <v>88</v>
      </c>
      <c r="P33" s="58" t="s">
        <v>89</v>
      </c>
    </row>
    <row r="34" spans="1:16" s="4" customFormat="1" ht="12.75">
      <c r="A34" s="5">
        <v>235</v>
      </c>
      <c r="C34" s="169" t="s">
        <v>129</v>
      </c>
      <c r="D34" s="5">
        <v>81.6</v>
      </c>
      <c r="E34" s="57">
        <v>0.247</v>
      </c>
      <c r="F34" s="142">
        <f t="shared" si="0"/>
        <v>0.3018888888888889</v>
      </c>
      <c r="G34" s="5"/>
      <c r="H34" s="5"/>
      <c r="I34" s="5"/>
      <c r="J34" s="5"/>
      <c r="K34" s="5"/>
      <c r="M34" s="177">
        <v>0.15</v>
      </c>
      <c r="P34" s="58" t="s">
        <v>125</v>
      </c>
    </row>
    <row r="35" spans="1:16" s="4" customFormat="1" ht="12.75">
      <c r="A35" s="5">
        <v>235</v>
      </c>
      <c r="C35" s="169" t="s">
        <v>129</v>
      </c>
      <c r="D35" s="5">
        <v>76.2</v>
      </c>
      <c r="E35" s="57">
        <v>0.226</v>
      </c>
      <c r="F35" s="142">
        <f t="shared" si="0"/>
        <v>0.27622222222222226</v>
      </c>
      <c r="G35" s="5">
        <v>0.187</v>
      </c>
      <c r="H35" s="5">
        <v>0.0045</v>
      </c>
      <c r="I35" s="5">
        <v>0.084</v>
      </c>
      <c r="J35" s="5">
        <v>0.0014</v>
      </c>
      <c r="K35" s="5">
        <v>0.0019</v>
      </c>
      <c r="M35" s="177">
        <v>0.15</v>
      </c>
      <c r="P35" s="58" t="s">
        <v>125</v>
      </c>
    </row>
    <row r="36" spans="1:16" ht="12.75">
      <c r="A36" s="3" t="s">
        <v>174</v>
      </c>
      <c r="D36" s="2"/>
      <c r="E36" s="109">
        <v>0.2</v>
      </c>
      <c r="F36" s="119">
        <f t="shared" si="0"/>
        <v>0.24444444444444446</v>
      </c>
      <c r="P36" s="58" t="s">
        <v>175</v>
      </c>
    </row>
    <row r="37" spans="1:16" ht="12.75">
      <c r="A37" s="3" t="s">
        <v>174</v>
      </c>
      <c r="E37" s="109">
        <v>0.3</v>
      </c>
      <c r="F37" s="119">
        <f t="shared" si="0"/>
        <v>0.36666666666666664</v>
      </c>
      <c r="P37" s="58" t="s">
        <v>175</v>
      </c>
    </row>
    <row r="39" spans="1:10" ht="12.75">
      <c r="A39" s="120" t="s">
        <v>181</v>
      </c>
      <c r="B39" s="121"/>
      <c r="C39" s="121"/>
      <c r="D39" s="121"/>
      <c r="E39" s="121"/>
      <c r="F39" s="121"/>
      <c r="G39" s="121"/>
      <c r="H39" s="121"/>
      <c r="I39" s="121"/>
      <c r="J39" s="121"/>
    </row>
    <row r="41" spans="9:11" ht="12.75">
      <c r="I41">
        <f>STDEV(I20:I35)</f>
        <v>0.02947371710524486</v>
      </c>
      <c r="J41">
        <f>STDEV(J20:J35)</f>
        <v>0.0005099019513592786</v>
      </c>
      <c r="K41">
        <f>STDEV(K20:K35)</f>
        <v>0.0006892024376045111</v>
      </c>
    </row>
    <row r="42" spans="9:11" ht="12.75">
      <c r="I42">
        <f>AVERAGE(I20:I35)</f>
        <v>0.11279999999999998</v>
      </c>
      <c r="J42">
        <f>AVERAGE(J20:J35)</f>
        <v>0.0012000000000000001</v>
      </c>
      <c r="K42">
        <f>AVERAGE(K20:K35)</f>
        <v>0.00175</v>
      </c>
    </row>
    <row r="43" spans="9:11" ht="12.75">
      <c r="I43">
        <f>I41/I42</f>
        <v>0.2612918183089084</v>
      </c>
      <c r="J43">
        <f>J41/J42</f>
        <v>0.42491829279939874</v>
      </c>
      <c r="K43">
        <f>K41/K42</f>
        <v>0.3938299643454349</v>
      </c>
    </row>
    <row r="98" spans="1:28" ht="12.75">
      <c r="A98" s="108" t="s">
        <v>169</v>
      </c>
      <c r="C98" s="297"/>
      <c r="D98" s="297"/>
      <c r="Y98" s="1" t="s">
        <v>46</v>
      </c>
      <c r="Z98" s="40" t="s">
        <v>20</v>
      </c>
      <c r="AA98" s="1" t="s">
        <v>47</v>
      </c>
      <c r="AB98" s="1" t="s">
        <v>48</v>
      </c>
    </row>
    <row r="99" spans="1:31" s="13" customFormat="1" ht="25.5">
      <c r="A99" s="24" t="s">
        <v>9</v>
      </c>
      <c r="B99" s="25" t="s">
        <v>10</v>
      </c>
      <c r="C99" s="24" t="s">
        <v>14</v>
      </c>
      <c r="D99" s="24" t="s">
        <v>15</v>
      </c>
      <c r="E99" s="24" t="s">
        <v>20</v>
      </c>
      <c r="F99" s="25" t="s">
        <v>21</v>
      </c>
      <c r="G99" s="25" t="s">
        <v>22</v>
      </c>
      <c r="H99" s="25" t="s">
        <v>23</v>
      </c>
      <c r="R99"/>
      <c r="S99"/>
      <c r="Y99"/>
      <c r="Z99"/>
      <c r="AA99"/>
      <c r="AB99"/>
      <c r="AC99"/>
      <c r="AD99"/>
      <c r="AE99"/>
    </row>
    <row r="100" spans="1:30" ht="13.5" thickBot="1">
      <c r="A100" s="27" t="s">
        <v>24</v>
      </c>
      <c r="B100" s="27"/>
      <c r="C100" s="27">
        <v>0.05</v>
      </c>
      <c r="D100" s="27"/>
      <c r="E100" s="42">
        <v>1994</v>
      </c>
      <c r="F100" s="27"/>
      <c r="G100" s="27" t="s">
        <v>25</v>
      </c>
      <c r="H100" s="27" t="s">
        <v>26</v>
      </c>
      <c r="Y100" t="s">
        <v>36</v>
      </c>
      <c r="Z100" s="41">
        <v>38092</v>
      </c>
      <c r="AA100">
        <v>180</v>
      </c>
      <c r="AB100">
        <v>0.4</v>
      </c>
      <c r="AD100" t="s">
        <v>49</v>
      </c>
    </row>
    <row r="101" spans="1:30" ht="12.75">
      <c r="A101" t="s">
        <v>30</v>
      </c>
      <c r="B101">
        <v>8</v>
      </c>
      <c r="C101" s="10">
        <v>0.14</v>
      </c>
      <c r="D101" s="10"/>
      <c r="E101" s="33">
        <v>35462</v>
      </c>
      <c r="F101" t="s">
        <v>28</v>
      </c>
      <c r="G101" t="s">
        <v>29</v>
      </c>
      <c r="AA101">
        <v>215</v>
      </c>
      <c r="AB101">
        <v>0.34</v>
      </c>
      <c r="AD101" t="s">
        <v>49</v>
      </c>
    </row>
    <row r="102" spans="2:28" ht="12.75">
      <c r="B102">
        <v>12</v>
      </c>
      <c r="C102" s="10">
        <v>0.11</v>
      </c>
      <c r="D102" s="10"/>
      <c r="E102" s="33">
        <v>35462</v>
      </c>
      <c r="F102" t="s">
        <v>28</v>
      </c>
      <c r="G102" t="s">
        <v>29</v>
      </c>
      <c r="Y102" t="s">
        <v>50</v>
      </c>
      <c r="Z102" s="41">
        <v>39203</v>
      </c>
      <c r="AA102">
        <v>180</v>
      </c>
      <c r="AB102">
        <v>0.14</v>
      </c>
    </row>
    <row r="103" spans="2:31" ht="12.75">
      <c r="B103">
        <v>16</v>
      </c>
      <c r="C103" s="10">
        <v>0.09</v>
      </c>
      <c r="D103" s="10"/>
      <c r="E103" s="33">
        <v>35462</v>
      </c>
      <c r="F103" t="s">
        <v>28</v>
      </c>
      <c r="G103" t="s">
        <v>29</v>
      </c>
      <c r="Y103" t="s">
        <v>51</v>
      </c>
      <c r="Z103" s="41">
        <v>38531</v>
      </c>
      <c r="AA103" s="43">
        <v>180</v>
      </c>
      <c r="AB103" s="43">
        <v>0.73</v>
      </c>
      <c r="AC103" s="44"/>
      <c r="AD103" s="44" t="s">
        <v>52</v>
      </c>
      <c r="AE103" t="s">
        <v>53</v>
      </c>
    </row>
    <row r="104" spans="2:31" ht="12.75">
      <c r="B104">
        <v>20</v>
      </c>
      <c r="C104" s="21">
        <v>0.07</v>
      </c>
      <c r="D104" s="10"/>
      <c r="E104" s="33">
        <v>35462</v>
      </c>
      <c r="F104" t="s">
        <v>28</v>
      </c>
      <c r="G104" t="s">
        <v>29</v>
      </c>
      <c r="AA104" s="43">
        <v>180</v>
      </c>
      <c r="AB104" s="43">
        <v>0.66</v>
      </c>
      <c r="AC104" s="44"/>
      <c r="AD104" s="44" t="s">
        <v>52</v>
      </c>
      <c r="AE104" t="s">
        <v>53</v>
      </c>
    </row>
    <row r="105" spans="2:31" ht="12.75">
      <c r="B105">
        <v>30</v>
      </c>
      <c r="C105" s="21">
        <v>0.035</v>
      </c>
      <c r="D105" s="10"/>
      <c r="E105" s="33">
        <v>35462</v>
      </c>
      <c r="F105" t="s">
        <v>28</v>
      </c>
      <c r="G105" t="s">
        <v>29</v>
      </c>
      <c r="AA105" s="43">
        <v>180</v>
      </c>
      <c r="AB105" s="43">
        <v>0.6</v>
      </c>
      <c r="AC105" s="44"/>
      <c r="AD105" s="44" t="s">
        <v>52</v>
      </c>
      <c r="AE105" t="s">
        <v>53</v>
      </c>
    </row>
    <row r="106" spans="1:31" ht="13.5" thickBot="1">
      <c r="A106" s="30"/>
      <c r="B106" s="30">
        <v>40</v>
      </c>
      <c r="C106" s="30">
        <v>0.005</v>
      </c>
      <c r="D106" s="30"/>
      <c r="E106" s="34">
        <v>35462</v>
      </c>
      <c r="F106" s="30" t="s">
        <v>28</v>
      </c>
      <c r="G106" s="30" t="s">
        <v>29</v>
      </c>
      <c r="H106" s="30"/>
      <c r="AA106" s="43">
        <v>180</v>
      </c>
      <c r="AB106" s="43">
        <v>0.67</v>
      </c>
      <c r="AC106" s="44"/>
      <c r="AD106" s="44" t="s">
        <v>52</v>
      </c>
      <c r="AE106" t="s">
        <v>53</v>
      </c>
    </row>
    <row r="107" spans="1:28" ht="12.75">
      <c r="A107" t="s">
        <v>31</v>
      </c>
      <c r="B107">
        <v>12</v>
      </c>
      <c r="C107" s="10">
        <v>0.159</v>
      </c>
      <c r="D107" s="10">
        <v>0.073</v>
      </c>
      <c r="E107" s="33">
        <v>36192</v>
      </c>
      <c r="F107" t="s">
        <v>28</v>
      </c>
      <c r="G107" t="s">
        <v>29</v>
      </c>
      <c r="AA107">
        <v>180</v>
      </c>
      <c r="AB107">
        <v>0.17</v>
      </c>
    </row>
    <row r="108" spans="1:28" ht="12.75">
      <c r="A108" s="10" t="s">
        <v>36</v>
      </c>
      <c r="B108" s="21">
        <v>15</v>
      </c>
      <c r="C108" s="10">
        <v>0.17</v>
      </c>
      <c r="D108" s="10"/>
      <c r="E108" s="33">
        <v>37288</v>
      </c>
      <c r="F108" s="21" t="s">
        <v>37</v>
      </c>
      <c r="G108" s="10"/>
      <c r="H108" s="10"/>
      <c r="AA108">
        <v>180</v>
      </c>
      <c r="AB108">
        <v>0.07</v>
      </c>
    </row>
    <row r="109" spans="1:28" ht="12.75">
      <c r="A109" s="10" t="s">
        <v>38</v>
      </c>
      <c r="B109" s="21">
        <v>15</v>
      </c>
      <c r="C109" s="10">
        <v>0.07</v>
      </c>
      <c r="D109" s="10"/>
      <c r="E109" s="33">
        <v>37288</v>
      </c>
      <c r="F109" s="21" t="s">
        <v>37</v>
      </c>
      <c r="G109" s="10"/>
      <c r="H109" s="10"/>
      <c r="AA109">
        <v>180</v>
      </c>
      <c r="AB109">
        <v>0.12</v>
      </c>
    </row>
    <row r="110" spans="1:28" ht="13.5" thickBot="1">
      <c r="A110" s="30"/>
      <c r="B110" s="35">
        <v>15</v>
      </c>
      <c r="C110" s="30">
        <v>0.12</v>
      </c>
      <c r="D110" s="30"/>
      <c r="E110" s="34">
        <v>37288</v>
      </c>
      <c r="F110" s="35" t="s">
        <v>37</v>
      </c>
      <c r="G110" s="30"/>
      <c r="H110" s="30"/>
      <c r="AA110">
        <v>215</v>
      </c>
      <c r="AB110">
        <v>0.34</v>
      </c>
    </row>
    <row r="111" spans="1:28" ht="12.75">
      <c r="A111" s="10" t="s">
        <v>36</v>
      </c>
      <c r="B111" s="21">
        <v>12</v>
      </c>
      <c r="C111" s="10">
        <v>0.416</v>
      </c>
      <c r="D111" s="10"/>
      <c r="E111" s="33">
        <v>38047</v>
      </c>
      <c r="F111" s="21" t="s">
        <v>37</v>
      </c>
      <c r="G111" s="10"/>
      <c r="H111" s="10" t="s">
        <v>39</v>
      </c>
      <c r="AA111">
        <v>180</v>
      </c>
      <c r="AB111">
        <v>0.2</v>
      </c>
    </row>
    <row r="112" spans="1:28" ht="12.75">
      <c r="A112" s="10" t="s">
        <v>38</v>
      </c>
      <c r="B112" s="21">
        <v>15</v>
      </c>
      <c r="C112" s="10">
        <v>0.4</v>
      </c>
      <c r="D112" s="10"/>
      <c r="E112" s="33">
        <v>38047</v>
      </c>
      <c r="F112" s="21" t="s">
        <v>37</v>
      </c>
      <c r="G112" s="10"/>
      <c r="H112" s="10" t="s">
        <v>39</v>
      </c>
      <c r="AA112">
        <v>180</v>
      </c>
      <c r="AB112">
        <v>0.12</v>
      </c>
    </row>
    <row r="113" spans="1:28" ht="12.75">
      <c r="A113" s="10"/>
      <c r="B113" s="21">
        <v>18</v>
      </c>
      <c r="C113" s="10">
        <v>0.386</v>
      </c>
      <c r="D113" s="10"/>
      <c r="E113" s="33">
        <v>38047</v>
      </c>
      <c r="F113" s="21" t="s">
        <v>37</v>
      </c>
      <c r="G113" s="10"/>
      <c r="H113" s="10" t="s">
        <v>39</v>
      </c>
      <c r="AA113">
        <v>200</v>
      </c>
      <c r="AB113">
        <v>0.2</v>
      </c>
    </row>
    <row r="114" spans="2:28" ht="12.75">
      <c r="B114" s="21">
        <v>12</v>
      </c>
      <c r="C114" s="21">
        <v>0.351</v>
      </c>
      <c r="D114" s="10"/>
      <c r="E114" s="33">
        <v>38047</v>
      </c>
      <c r="F114" s="21" t="s">
        <v>37</v>
      </c>
      <c r="G114" s="10"/>
      <c r="H114" s="10" t="s">
        <v>40</v>
      </c>
      <c r="AA114">
        <v>200</v>
      </c>
      <c r="AB114">
        <v>0.2</v>
      </c>
    </row>
    <row r="115" spans="1:28" ht="12.75">
      <c r="A115" s="10"/>
      <c r="B115" s="21">
        <v>15</v>
      </c>
      <c r="C115" s="10">
        <v>0.335</v>
      </c>
      <c r="D115" s="10"/>
      <c r="E115" s="33">
        <v>38047</v>
      </c>
      <c r="F115" s="21" t="s">
        <v>37</v>
      </c>
      <c r="G115" s="10"/>
      <c r="H115" s="10" t="s">
        <v>40</v>
      </c>
      <c r="AA115">
        <v>200</v>
      </c>
      <c r="AB115">
        <v>0.15</v>
      </c>
    </row>
    <row r="116" spans="2:31" s="12" customFormat="1" ht="12.75">
      <c r="B116" s="23">
        <v>18</v>
      </c>
      <c r="C116" s="23">
        <v>0.32</v>
      </c>
      <c r="E116" s="36">
        <v>38047</v>
      </c>
      <c r="F116" s="23" t="s">
        <v>37</v>
      </c>
      <c r="H116" s="12" t="s">
        <v>40</v>
      </c>
      <c r="R116"/>
      <c r="S116"/>
      <c r="Y116"/>
      <c r="Z116"/>
      <c r="AA116">
        <v>225</v>
      </c>
      <c r="AB116">
        <v>0.28</v>
      </c>
      <c r="AC116"/>
      <c r="AD116"/>
      <c r="AE116"/>
    </row>
    <row r="117" spans="27:28" ht="12.75">
      <c r="AA117">
        <v>225</v>
      </c>
      <c r="AB117">
        <v>0.27</v>
      </c>
    </row>
    <row r="118" spans="1:28" ht="12.75">
      <c r="A118" t="s">
        <v>43</v>
      </c>
      <c r="AA118">
        <v>200</v>
      </c>
      <c r="AB118">
        <v>0.3</v>
      </c>
    </row>
    <row r="119" spans="1:28" ht="12.75">
      <c r="A119" t="s">
        <v>44</v>
      </c>
      <c r="AA119">
        <v>225</v>
      </c>
      <c r="AB119">
        <v>0.31</v>
      </c>
    </row>
    <row r="120" spans="25:28" ht="12.75">
      <c r="Y120" t="s">
        <v>54</v>
      </c>
      <c r="Z120" s="41">
        <v>39164</v>
      </c>
      <c r="AA120">
        <v>180</v>
      </c>
      <c r="AB120">
        <v>0.18</v>
      </c>
    </row>
    <row r="121" spans="1:28" ht="12.75">
      <c r="A121" s="19" t="s">
        <v>59</v>
      </c>
      <c r="B121" s="19" t="s">
        <v>59</v>
      </c>
      <c r="C121" s="2"/>
      <c r="D121" s="2"/>
      <c r="E121" s="2"/>
      <c r="F121" s="2"/>
      <c r="G121" s="2"/>
      <c r="Y121" t="s">
        <v>55</v>
      </c>
      <c r="Z121" s="41">
        <v>37315</v>
      </c>
      <c r="AA121">
        <v>180</v>
      </c>
      <c r="AB121">
        <v>0.17</v>
      </c>
    </row>
    <row r="122" spans="1:28" ht="12.75">
      <c r="A122" s="19" t="s">
        <v>47</v>
      </c>
      <c r="B122" s="19" t="s">
        <v>47</v>
      </c>
      <c r="C122" s="19" t="s">
        <v>69</v>
      </c>
      <c r="D122" s="2"/>
      <c r="E122" s="2"/>
      <c r="K122" s="19" t="s">
        <v>110</v>
      </c>
      <c r="L122" s="65" t="s">
        <v>59</v>
      </c>
      <c r="M122" s="19" t="s">
        <v>65</v>
      </c>
      <c r="AA122">
        <v>180</v>
      </c>
      <c r="AB122">
        <v>0.07</v>
      </c>
    </row>
    <row r="123" spans="1:28" ht="12.75">
      <c r="A123" s="19" t="s">
        <v>56</v>
      </c>
      <c r="B123" s="19" t="s">
        <v>58</v>
      </c>
      <c r="C123" s="19" t="s">
        <v>38</v>
      </c>
      <c r="D123" s="19" t="s">
        <v>61</v>
      </c>
      <c r="E123" s="19" t="s">
        <v>63</v>
      </c>
      <c r="F123" s="19" t="s">
        <v>90</v>
      </c>
      <c r="G123" s="19" t="s">
        <v>1</v>
      </c>
      <c r="H123" s="19" t="s">
        <v>2</v>
      </c>
      <c r="I123" s="19" t="s">
        <v>101</v>
      </c>
      <c r="J123" s="19" t="s">
        <v>102</v>
      </c>
      <c r="K123" s="19" t="s">
        <v>111</v>
      </c>
      <c r="L123" s="22" t="s">
        <v>112</v>
      </c>
      <c r="M123" s="19" t="s">
        <v>66</v>
      </c>
      <c r="AA123">
        <v>180</v>
      </c>
      <c r="AB123">
        <v>0.12</v>
      </c>
    </row>
    <row r="124" spans="1:17" ht="12.75">
      <c r="A124" s="14" t="s">
        <v>57</v>
      </c>
      <c r="B124" s="14" t="s">
        <v>57</v>
      </c>
      <c r="C124" s="14" t="s">
        <v>60</v>
      </c>
      <c r="D124" s="14" t="s">
        <v>62</v>
      </c>
      <c r="E124" s="14" t="s">
        <v>64</v>
      </c>
      <c r="F124" s="7" t="s">
        <v>91</v>
      </c>
      <c r="G124" s="7" t="s">
        <v>91</v>
      </c>
      <c r="H124" s="7" t="s">
        <v>91</v>
      </c>
      <c r="I124" s="7" t="s">
        <v>91</v>
      </c>
      <c r="J124" s="7" t="s">
        <v>91</v>
      </c>
      <c r="K124" s="20" t="s">
        <v>4</v>
      </c>
      <c r="L124" s="14" t="s">
        <v>113</v>
      </c>
      <c r="M124" s="14" t="s">
        <v>20</v>
      </c>
      <c r="N124" s="13" t="s">
        <v>67</v>
      </c>
      <c r="O124" s="7" t="s">
        <v>3</v>
      </c>
      <c r="P124" s="12"/>
      <c r="Q124" s="12"/>
    </row>
    <row r="125" spans="1:15" ht="12.75">
      <c r="A125" s="2">
        <v>180</v>
      </c>
      <c r="B125" s="2">
        <v>145</v>
      </c>
      <c r="C125" s="19" t="s">
        <v>68</v>
      </c>
      <c r="D125" s="2">
        <v>126.6</v>
      </c>
      <c r="E125" s="2">
        <v>0.73</v>
      </c>
      <c r="K125" s="2">
        <v>66.5</v>
      </c>
      <c r="L125" s="66">
        <v>0.15</v>
      </c>
      <c r="M125" s="45" t="s">
        <v>72</v>
      </c>
      <c r="N125" s="3" t="s">
        <v>70</v>
      </c>
      <c r="O125" s="3" t="s">
        <v>89</v>
      </c>
    </row>
    <row r="126" spans="1:15" ht="12.75">
      <c r="A126" s="2">
        <v>180</v>
      </c>
      <c r="B126" s="2">
        <v>145</v>
      </c>
      <c r="C126" s="19" t="s">
        <v>68</v>
      </c>
      <c r="D126" s="2">
        <v>139.3</v>
      </c>
      <c r="E126" s="2">
        <v>0.66</v>
      </c>
      <c r="K126" s="2">
        <v>67.9</v>
      </c>
      <c r="L126" s="66">
        <v>0.15</v>
      </c>
      <c r="M126" s="45" t="s">
        <v>72</v>
      </c>
      <c r="N126" s="3" t="s">
        <v>70</v>
      </c>
      <c r="O126" s="3" t="s">
        <v>89</v>
      </c>
    </row>
    <row r="127" spans="1:15" ht="12.75">
      <c r="A127" s="2">
        <v>180</v>
      </c>
      <c r="B127" s="2">
        <v>145</v>
      </c>
      <c r="C127" s="19" t="s">
        <v>68</v>
      </c>
      <c r="D127" s="2">
        <v>127.8</v>
      </c>
      <c r="E127" s="2">
        <v>0.6</v>
      </c>
      <c r="K127" s="2">
        <v>65.7</v>
      </c>
      <c r="L127" s="66">
        <v>0.15</v>
      </c>
      <c r="M127" s="45" t="s">
        <v>72</v>
      </c>
      <c r="N127" s="3" t="s">
        <v>70</v>
      </c>
      <c r="O127" s="3" t="s">
        <v>89</v>
      </c>
    </row>
    <row r="128" spans="1:15" ht="12.75">
      <c r="A128" s="16">
        <v>180</v>
      </c>
      <c r="B128" s="16">
        <v>145</v>
      </c>
      <c r="C128" s="14" t="s">
        <v>68</v>
      </c>
      <c r="D128" s="16">
        <v>132.7</v>
      </c>
      <c r="E128" s="16">
        <v>0.67</v>
      </c>
      <c r="F128" s="12"/>
      <c r="G128" s="12"/>
      <c r="H128" s="12"/>
      <c r="I128" s="12"/>
      <c r="J128" s="12"/>
      <c r="K128" s="16">
        <v>67</v>
      </c>
      <c r="L128" s="66">
        <v>0.15</v>
      </c>
      <c r="M128" s="59" t="s">
        <v>72</v>
      </c>
      <c r="N128" s="13" t="s">
        <v>70</v>
      </c>
      <c r="O128" s="3" t="s">
        <v>89</v>
      </c>
    </row>
    <row r="129" spans="1:15" ht="12.75">
      <c r="A129" s="47">
        <v>180</v>
      </c>
      <c r="B129" s="47">
        <v>130</v>
      </c>
      <c r="C129" s="48" t="s">
        <v>71</v>
      </c>
      <c r="D129" s="47">
        <v>114.8</v>
      </c>
      <c r="E129" s="47">
        <v>0.17</v>
      </c>
      <c r="F129" s="49"/>
      <c r="G129" s="49"/>
      <c r="H129" s="49"/>
      <c r="I129" s="49"/>
      <c r="J129" s="49"/>
      <c r="K129" s="47">
        <v>45</v>
      </c>
      <c r="L129" s="67">
        <v>0.15</v>
      </c>
      <c r="M129" s="60" t="s">
        <v>73</v>
      </c>
      <c r="N129" s="50" t="s">
        <v>74</v>
      </c>
      <c r="O129" s="3" t="s">
        <v>89</v>
      </c>
    </row>
    <row r="130" spans="1:15" ht="12.75">
      <c r="A130" s="47">
        <v>180</v>
      </c>
      <c r="B130" s="47">
        <v>130</v>
      </c>
      <c r="C130" s="48" t="s">
        <v>71</v>
      </c>
      <c r="D130" s="47">
        <v>103.1</v>
      </c>
      <c r="E130" s="47">
        <v>0.07</v>
      </c>
      <c r="F130" s="49"/>
      <c r="G130" s="49"/>
      <c r="H130" s="49"/>
      <c r="I130" s="49"/>
      <c r="J130" s="49"/>
      <c r="K130" s="47">
        <v>40.7</v>
      </c>
      <c r="L130" s="67">
        <v>0.15</v>
      </c>
      <c r="M130" s="60" t="s">
        <v>73</v>
      </c>
      <c r="N130" s="50" t="s">
        <v>75</v>
      </c>
      <c r="O130" s="3" t="s">
        <v>89</v>
      </c>
    </row>
    <row r="131" spans="1:15" ht="12.75">
      <c r="A131" s="47">
        <v>180</v>
      </c>
      <c r="B131" s="47">
        <v>130</v>
      </c>
      <c r="C131" s="48" t="s">
        <v>71</v>
      </c>
      <c r="D131" s="47">
        <v>98</v>
      </c>
      <c r="E131" s="47">
        <v>0.12</v>
      </c>
      <c r="F131" s="49"/>
      <c r="G131" s="49"/>
      <c r="H131" s="49"/>
      <c r="I131" s="49"/>
      <c r="J131" s="49"/>
      <c r="K131" s="47">
        <v>37.5</v>
      </c>
      <c r="L131" s="67">
        <v>0.15</v>
      </c>
      <c r="M131" s="60" t="s">
        <v>73</v>
      </c>
      <c r="N131" s="50" t="s">
        <v>76</v>
      </c>
      <c r="O131" s="3" t="s">
        <v>89</v>
      </c>
    </row>
    <row r="132" spans="1:15" ht="12.75">
      <c r="A132" s="2">
        <v>180</v>
      </c>
      <c r="B132" s="2">
        <v>150</v>
      </c>
      <c r="C132" s="19" t="s">
        <v>71</v>
      </c>
      <c r="D132" s="2">
        <v>115.7</v>
      </c>
      <c r="E132" s="2">
        <v>0.4</v>
      </c>
      <c r="K132" s="2">
        <v>52.9</v>
      </c>
      <c r="L132" s="66">
        <v>0.15</v>
      </c>
      <c r="M132" s="45" t="s">
        <v>77</v>
      </c>
      <c r="N132" s="3" t="s">
        <v>78</v>
      </c>
      <c r="O132" s="3" t="s">
        <v>89</v>
      </c>
    </row>
    <row r="133" spans="1:15" ht="12.75">
      <c r="A133" s="16">
        <v>215</v>
      </c>
      <c r="B133" s="16">
        <v>165</v>
      </c>
      <c r="C133" s="14" t="s">
        <v>71</v>
      </c>
      <c r="D133" s="16">
        <v>112.9</v>
      </c>
      <c r="E133" s="16">
        <v>0.34</v>
      </c>
      <c r="F133" s="12"/>
      <c r="G133" s="12"/>
      <c r="H133" s="12"/>
      <c r="I133" s="12"/>
      <c r="J133" s="12"/>
      <c r="K133" s="16">
        <v>32.7</v>
      </c>
      <c r="L133" s="69">
        <v>0.15</v>
      </c>
      <c r="M133" s="59" t="s">
        <v>77</v>
      </c>
      <c r="N133" s="13" t="s">
        <v>78</v>
      </c>
      <c r="O133" s="3" t="s">
        <v>89</v>
      </c>
    </row>
    <row r="134" spans="1:15" ht="12.75">
      <c r="A134" s="47">
        <v>215</v>
      </c>
      <c r="B134" s="3" t="s">
        <v>105</v>
      </c>
      <c r="C134" s="48" t="s">
        <v>71</v>
      </c>
      <c r="D134" s="47">
        <v>119.7</v>
      </c>
      <c r="E134" s="47">
        <v>0.34</v>
      </c>
      <c r="F134" s="47">
        <v>0.138</v>
      </c>
      <c r="G134" s="47">
        <v>0.0043</v>
      </c>
      <c r="H134" s="47"/>
      <c r="I134" s="47"/>
      <c r="J134" s="2">
        <v>0.0027</v>
      </c>
      <c r="K134" s="47">
        <v>38</v>
      </c>
      <c r="L134" s="67">
        <v>0.15</v>
      </c>
      <c r="M134" s="60" t="s">
        <v>77</v>
      </c>
      <c r="N134" s="50" t="s">
        <v>79</v>
      </c>
      <c r="O134" s="3" t="s">
        <v>107</v>
      </c>
    </row>
    <row r="135" spans="1:15" ht="12.75">
      <c r="A135" s="51">
        <v>180</v>
      </c>
      <c r="B135" s="51">
        <v>150</v>
      </c>
      <c r="C135" s="52" t="s">
        <v>71</v>
      </c>
      <c r="D135" s="51">
        <v>56.8</v>
      </c>
      <c r="E135" s="51">
        <v>0.2</v>
      </c>
      <c r="F135" s="51">
        <v>0.031</v>
      </c>
      <c r="G135" s="51">
        <v>0.00082</v>
      </c>
      <c r="H135" s="51"/>
      <c r="I135" s="51"/>
      <c r="J135" s="51"/>
      <c r="K135" s="51">
        <f>38+21/60</f>
        <v>38.35</v>
      </c>
      <c r="L135" s="68">
        <v>0.15</v>
      </c>
      <c r="M135" s="61" t="s">
        <v>80</v>
      </c>
      <c r="N135" s="53" t="s">
        <v>85</v>
      </c>
      <c r="O135" s="3" t="s">
        <v>106</v>
      </c>
    </row>
    <row r="136" spans="1:15" ht="12.75">
      <c r="A136" s="16">
        <v>180</v>
      </c>
      <c r="B136" s="16">
        <v>150</v>
      </c>
      <c r="C136" s="14" t="s">
        <v>71</v>
      </c>
      <c r="D136" s="16">
        <v>51.1</v>
      </c>
      <c r="E136" s="16">
        <v>0.12</v>
      </c>
      <c r="F136" s="16">
        <v>0.03</v>
      </c>
      <c r="G136" s="16">
        <v>0.00082</v>
      </c>
      <c r="H136" s="16"/>
      <c r="I136" s="16"/>
      <c r="J136" s="16"/>
      <c r="K136" s="16">
        <f>35.75</f>
        <v>35.75</v>
      </c>
      <c r="L136" s="69">
        <v>0.15</v>
      </c>
      <c r="M136" s="59" t="s">
        <v>81</v>
      </c>
      <c r="N136" s="13" t="s">
        <v>85</v>
      </c>
      <c r="O136" s="3" t="s">
        <v>106</v>
      </c>
    </row>
    <row r="137" spans="1:15" ht="12.75">
      <c r="A137" s="47">
        <v>200</v>
      </c>
      <c r="B137" s="47">
        <v>150</v>
      </c>
      <c r="C137" s="48" t="s">
        <v>71</v>
      </c>
      <c r="D137" s="47">
        <v>76</v>
      </c>
      <c r="E137" s="47">
        <v>0.2</v>
      </c>
      <c r="F137" s="47">
        <v>0.057</v>
      </c>
      <c r="G137" s="47">
        <v>0.0014</v>
      </c>
      <c r="H137" s="47"/>
      <c r="I137" s="47"/>
      <c r="J137" s="47"/>
      <c r="K137" s="47">
        <v>30.25</v>
      </c>
      <c r="L137" s="67">
        <v>0.15</v>
      </c>
      <c r="M137" s="60" t="s">
        <v>81</v>
      </c>
      <c r="N137" s="50" t="s">
        <v>86</v>
      </c>
      <c r="O137" s="3" t="s">
        <v>108</v>
      </c>
    </row>
    <row r="138" spans="1:15" ht="12.75">
      <c r="A138" s="2">
        <v>200</v>
      </c>
      <c r="B138" s="2">
        <v>185</v>
      </c>
      <c r="C138" s="19" t="s">
        <v>68</v>
      </c>
      <c r="D138" s="2">
        <v>81</v>
      </c>
      <c r="E138" s="2">
        <v>0.2</v>
      </c>
      <c r="F138" s="2">
        <v>0.098</v>
      </c>
      <c r="G138" s="2">
        <v>0.0015</v>
      </c>
      <c r="H138" s="2"/>
      <c r="I138" s="2"/>
      <c r="J138" s="2"/>
      <c r="K138" s="2">
        <v>45.2</v>
      </c>
      <c r="L138" s="66">
        <v>0.15</v>
      </c>
      <c r="M138" s="45" t="s">
        <v>82</v>
      </c>
      <c r="N138" s="3" t="s">
        <v>87</v>
      </c>
      <c r="O138" s="3" t="s">
        <v>89</v>
      </c>
    </row>
    <row r="139" spans="1:15" ht="12.75">
      <c r="A139" s="2">
        <v>200</v>
      </c>
      <c r="B139" s="2">
        <v>185</v>
      </c>
      <c r="C139" s="19" t="s">
        <v>68</v>
      </c>
      <c r="D139" s="2">
        <v>73.7</v>
      </c>
      <c r="E139" s="2">
        <v>0.15</v>
      </c>
      <c r="F139" s="2">
        <v>0.175</v>
      </c>
      <c r="G139" s="2">
        <v>0.0016</v>
      </c>
      <c r="H139" s="2"/>
      <c r="I139" s="2"/>
      <c r="J139" s="2"/>
      <c r="K139" s="2">
        <v>36.5</v>
      </c>
      <c r="L139" s="66">
        <v>0.15</v>
      </c>
      <c r="M139" s="45" t="s">
        <v>83</v>
      </c>
      <c r="N139" s="3" t="s">
        <v>87</v>
      </c>
      <c r="O139" s="3" t="s">
        <v>89</v>
      </c>
    </row>
    <row r="140" spans="1:15" ht="12.75">
      <c r="A140" s="2">
        <v>225</v>
      </c>
      <c r="B140" s="2">
        <v>170</v>
      </c>
      <c r="C140" s="19" t="s">
        <v>68</v>
      </c>
      <c r="D140" s="2">
        <v>82</v>
      </c>
      <c r="E140" s="2">
        <v>0.28</v>
      </c>
      <c r="F140" s="2">
        <v>0.189</v>
      </c>
      <c r="G140" s="2">
        <v>0.0035</v>
      </c>
      <c r="H140" s="2"/>
      <c r="I140" s="2"/>
      <c r="J140" s="2"/>
      <c r="K140" s="2">
        <v>31.3</v>
      </c>
      <c r="L140" s="66">
        <v>0.15</v>
      </c>
      <c r="M140" s="45" t="s">
        <v>83</v>
      </c>
      <c r="N140" s="3" t="s">
        <v>87</v>
      </c>
      <c r="O140" s="3" t="s">
        <v>89</v>
      </c>
    </row>
    <row r="141" spans="1:15" ht="12.75">
      <c r="A141" s="16">
        <v>225</v>
      </c>
      <c r="B141" s="16">
        <v>170</v>
      </c>
      <c r="C141" s="14" t="s">
        <v>68</v>
      </c>
      <c r="D141" s="16">
        <v>77.4</v>
      </c>
      <c r="E141" s="16">
        <v>0.27</v>
      </c>
      <c r="F141" s="16">
        <v>0.167</v>
      </c>
      <c r="G141" s="16">
        <v>0.0034</v>
      </c>
      <c r="H141" s="16"/>
      <c r="I141" s="16"/>
      <c r="J141" s="16"/>
      <c r="K141" s="16">
        <v>28.6</v>
      </c>
      <c r="L141" s="69">
        <v>0.15</v>
      </c>
      <c r="M141" s="59" t="s">
        <v>83</v>
      </c>
      <c r="N141" s="13" t="s">
        <v>87</v>
      </c>
      <c r="O141" s="3" t="s">
        <v>89</v>
      </c>
    </row>
    <row r="142" spans="1:15" ht="12.75">
      <c r="A142" s="2">
        <v>200</v>
      </c>
      <c r="B142" s="2">
        <v>185</v>
      </c>
      <c r="C142" s="19" t="s">
        <v>68</v>
      </c>
      <c r="D142" s="2">
        <v>100.1</v>
      </c>
      <c r="E142" s="2">
        <v>0.3</v>
      </c>
      <c r="F142" s="2">
        <v>0.154</v>
      </c>
      <c r="G142" s="2">
        <v>0.0018</v>
      </c>
      <c r="H142" s="2"/>
      <c r="I142" s="2"/>
      <c r="J142" s="2"/>
      <c r="K142" s="2">
        <v>47.4</v>
      </c>
      <c r="L142" s="66">
        <v>0.15</v>
      </c>
      <c r="M142" s="45" t="s">
        <v>83</v>
      </c>
      <c r="N142" s="3" t="s">
        <v>88</v>
      </c>
      <c r="O142" s="3" t="s">
        <v>89</v>
      </c>
    </row>
    <row r="143" spans="1:15" ht="13.5" thickBot="1">
      <c r="A143" s="54">
        <v>225</v>
      </c>
      <c r="B143" s="54">
        <v>170</v>
      </c>
      <c r="C143" s="55" t="s">
        <v>68</v>
      </c>
      <c r="D143" s="54">
        <v>101.7</v>
      </c>
      <c r="E143" s="54">
        <v>0.31</v>
      </c>
      <c r="F143" s="54">
        <v>0.24</v>
      </c>
      <c r="G143" s="54">
        <v>0.004</v>
      </c>
      <c r="H143" s="54"/>
      <c r="I143" s="54"/>
      <c r="J143" s="54"/>
      <c r="K143" s="54">
        <v>33.5</v>
      </c>
      <c r="L143" s="70">
        <v>0.15</v>
      </c>
      <c r="M143" s="62" t="s">
        <v>84</v>
      </c>
      <c r="N143" s="56" t="s">
        <v>88</v>
      </c>
      <c r="O143" s="56" t="s">
        <v>89</v>
      </c>
    </row>
    <row r="144" spans="1:15" ht="13.5" thickTop="1">
      <c r="A144" s="2">
        <v>180</v>
      </c>
      <c r="B144" s="19">
        <v>150</v>
      </c>
      <c r="C144" s="71" t="s">
        <v>71</v>
      </c>
      <c r="D144" s="57">
        <v>79.9</v>
      </c>
      <c r="E144" s="57">
        <v>0.18</v>
      </c>
      <c r="F144" s="57">
        <v>0.052</v>
      </c>
      <c r="G144" s="57">
        <v>0.00071</v>
      </c>
      <c r="H144" s="57"/>
      <c r="I144" s="57"/>
      <c r="J144" s="57"/>
      <c r="K144" s="2">
        <f>40+33/60</f>
        <v>40.55</v>
      </c>
      <c r="L144" s="66">
        <v>0.15</v>
      </c>
      <c r="M144" s="63" t="s">
        <v>97</v>
      </c>
      <c r="O144" s="58" t="s">
        <v>98</v>
      </c>
    </row>
    <row r="145" spans="1:15" ht="12.75">
      <c r="A145" s="2">
        <v>180</v>
      </c>
      <c r="C145" s="10"/>
      <c r="E145" s="57">
        <v>0.12</v>
      </c>
      <c r="F145" s="2"/>
      <c r="G145" s="2"/>
      <c r="H145" s="2"/>
      <c r="I145" s="2"/>
      <c r="J145" s="2"/>
      <c r="K145" s="2"/>
      <c r="L145" s="66">
        <v>0.15</v>
      </c>
      <c r="M145" s="64" t="s">
        <v>100</v>
      </c>
      <c r="O145" s="58" t="s">
        <v>99</v>
      </c>
    </row>
    <row r="146" spans="1:15" ht="12.75">
      <c r="A146" s="2">
        <v>180</v>
      </c>
      <c r="B146" s="19">
        <v>150</v>
      </c>
      <c r="C146" s="22" t="s">
        <v>71</v>
      </c>
      <c r="D146" s="57">
        <v>56.9</v>
      </c>
      <c r="E146" s="57">
        <v>0.24</v>
      </c>
      <c r="F146" s="2">
        <f>(0.083+0.075)/2</f>
        <v>0.079</v>
      </c>
      <c r="G146" s="2">
        <f>(0.0013+0.0014)/2</f>
        <v>0.00135</v>
      </c>
      <c r="H146" s="2">
        <v>0.078</v>
      </c>
      <c r="I146" s="2">
        <v>0.002</v>
      </c>
      <c r="J146" s="2">
        <v>0.0012</v>
      </c>
      <c r="K146" s="2">
        <v>27.5</v>
      </c>
      <c r="L146" s="66">
        <v>0.15</v>
      </c>
      <c r="M146" s="19" t="s">
        <v>104</v>
      </c>
      <c r="O146" s="58" t="s">
        <v>103</v>
      </c>
    </row>
    <row r="147" spans="1:15" ht="12.75">
      <c r="A147" s="2">
        <v>215</v>
      </c>
      <c r="B147" s="19">
        <v>120</v>
      </c>
      <c r="C147" s="10"/>
      <c r="E147" s="57">
        <v>0.152</v>
      </c>
      <c r="L147" s="19" t="s">
        <v>123</v>
      </c>
      <c r="M147" s="19" t="s">
        <v>122</v>
      </c>
      <c r="O147" s="58" t="s">
        <v>120</v>
      </c>
    </row>
    <row r="148" spans="1:15" ht="12.75">
      <c r="A148" s="2">
        <v>210</v>
      </c>
      <c r="B148" s="19">
        <v>117.9</v>
      </c>
      <c r="E148" s="57">
        <v>0.064</v>
      </c>
      <c r="L148" s="19" t="s">
        <v>123</v>
      </c>
      <c r="M148" s="63" t="s">
        <v>124</v>
      </c>
      <c r="O148" s="58" t="s">
        <v>121</v>
      </c>
    </row>
    <row r="149" spans="1:15" ht="12.75">
      <c r="A149" s="2">
        <v>180</v>
      </c>
      <c r="C149" s="3" t="s">
        <v>129</v>
      </c>
      <c r="D149">
        <v>102.3</v>
      </c>
      <c r="E149" s="57">
        <v>0.142</v>
      </c>
      <c r="F149" s="2">
        <v>0.075</v>
      </c>
      <c r="G149" s="2">
        <v>0.0014</v>
      </c>
      <c r="H149" s="2">
        <v>0.078</v>
      </c>
      <c r="I149" s="2">
        <v>0.002</v>
      </c>
      <c r="J149" s="2">
        <v>0.0012</v>
      </c>
      <c r="L149" s="75">
        <v>0.15</v>
      </c>
      <c r="O149" s="58" t="s">
        <v>125</v>
      </c>
    </row>
    <row r="150" spans="1:15" ht="12.75">
      <c r="A150" s="2">
        <v>180</v>
      </c>
      <c r="C150" s="3" t="s">
        <v>129</v>
      </c>
      <c r="D150">
        <v>93.5</v>
      </c>
      <c r="E150" s="57">
        <v>0.236</v>
      </c>
      <c r="F150" s="2">
        <v>0.094</v>
      </c>
      <c r="G150" s="2">
        <v>0.0015</v>
      </c>
      <c r="H150" s="2">
        <v>0.141</v>
      </c>
      <c r="I150" s="2">
        <v>0.0008</v>
      </c>
      <c r="J150" s="2">
        <v>0.0012</v>
      </c>
      <c r="L150" s="75">
        <v>0.175</v>
      </c>
      <c r="O150" s="58" t="s">
        <v>125</v>
      </c>
    </row>
    <row r="151" spans="1:15" ht="12.75">
      <c r="A151" s="2">
        <v>200</v>
      </c>
      <c r="C151" s="3" t="s">
        <v>129</v>
      </c>
      <c r="D151">
        <v>83.9</v>
      </c>
      <c r="E151" s="57">
        <v>0.214</v>
      </c>
      <c r="F151" s="2">
        <v>0.044</v>
      </c>
      <c r="G151" s="2">
        <v>0.0008</v>
      </c>
      <c r="H151" s="2">
        <v>0.133</v>
      </c>
      <c r="I151" s="2">
        <v>0.0008</v>
      </c>
      <c r="J151" s="2">
        <v>0.0024</v>
      </c>
      <c r="L151" s="75">
        <v>0.15</v>
      </c>
      <c r="O151" s="58" t="s">
        <v>125</v>
      </c>
    </row>
    <row r="152" spans="1:15" ht="12.75">
      <c r="A152" s="2">
        <v>200</v>
      </c>
      <c r="C152" s="3" t="s">
        <v>129</v>
      </c>
      <c r="D152">
        <v>98.6</v>
      </c>
      <c r="E152" s="57">
        <v>0.239</v>
      </c>
      <c r="F152" s="2">
        <v>0.077</v>
      </c>
      <c r="G152" s="2">
        <v>0.0014</v>
      </c>
      <c r="H152" s="2">
        <v>0.128</v>
      </c>
      <c r="I152" s="2">
        <v>0.001</v>
      </c>
      <c r="J152" s="2">
        <v>0.0011</v>
      </c>
      <c r="L152" s="75">
        <v>0.15</v>
      </c>
      <c r="O152" s="58" t="s">
        <v>125</v>
      </c>
    </row>
    <row r="153" spans="1:15" ht="12.75">
      <c r="A153" s="2">
        <v>235</v>
      </c>
      <c r="C153" s="3" t="s">
        <v>129</v>
      </c>
      <c r="D153">
        <v>81.6</v>
      </c>
      <c r="E153" s="57">
        <v>0.247</v>
      </c>
      <c r="F153" s="2"/>
      <c r="G153" s="2"/>
      <c r="H153" s="2"/>
      <c r="I153" s="2"/>
      <c r="J153" s="2"/>
      <c r="L153" s="75">
        <v>0.15</v>
      </c>
      <c r="O153" s="58" t="s">
        <v>125</v>
      </c>
    </row>
    <row r="154" spans="1:15" ht="12.75">
      <c r="A154" s="2">
        <v>235</v>
      </c>
      <c r="C154" s="3" t="s">
        <v>129</v>
      </c>
      <c r="D154">
        <v>76.2</v>
      </c>
      <c r="E154" s="57">
        <v>0.226</v>
      </c>
      <c r="F154" s="2">
        <v>0.187</v>
      </c>
      <c r="G154" s="2">
        <v>0.0045</v>
      </c>
      <c r="H154" s="2">
        <v>0.084</v>
      </c>
      <c r="I154" s="2">
        <v>0.0014</v>
      </c>
      <c r="J154" s="2">
        <v>0.0019</v>
      </c>
      <c r="L154" s="75">
        <v>0.15</v>
      </c>
      <c r="O154" s="58" t="s">
        <v>125</v>
      </c>
    </row>
    <row r="161" ht="12.75">
      <c r="A161" s="46" t="s">
        <v>92</v>
      </c>
    </row>
    <row r="162" ht="12.75">
      <c r="A162" s="46" t="s">
        <v>93</v>
      </c>
    </row>
    <row r="163" ht="12.75">
      <c r="A163" s="3" t="s">
        <v>94</v>
      </c>
    </row>
    <row r="164" ht="12.75">
      <c r="A164" s="3" t="s">
        <v>95</v>
      </c>
    </row>
    <row r="165" ht="12.75">
      <c r="A165" s="3" t="s">
        <v>96</v>
      </c>
    </row>
  </sheetData>
  <sheetProtection/>
  <mergeCells count="1">
    <mergeCell ref="C98:D98"/>
  </mergeCells>
  <printOptions/>
  <pageMargins left="0.7" right="0.7" top="0.75" bottom="0.75" header="0.3" footer="0.3"/>
  <pageSetup fitToHeight="1" fitToWidth="1" horizontalDpi="600" verticalDpi="600" orientation="landscape" scale="6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148"/>
  <sheetViews>
    <sheetView zoomScalePageLayoutView="0" workbookViewId="0" topLeftCell="A1">
      <pane ySplit="8" topLeftCell="A9" activePane="bottomLeft" state="frozen"/>
      <selection pane="topLeft" activeCell="A1" sqref="A1"/>
      <selection pane="bottomLeft" activeCell="J68" sqref="J68"/>
    </sheetView>
  </sheetViews>
  <sheetFormatPr defaultColWidth="9.140625" defaultRowHeight="12.75"/>
  <cols>
    <col min="1" max="1" width="13.00390625" style="0" customWidth="1"/>
    <col min="2" max="2" width="11.421875" style="0" customWidth="1"/>
    <col min="3" max="3" width="9.7109375" style="0" customWidth="1"/>
    <col min="4" max="4" width="11.7109375" style="0" customWidth="1"/>
    <col min="5" max="5" width="12.8515625" style="0" customWidth="1"/>
    <col min="6" max="6" width="13.7109375" style="0" customWidth="1"/>
    <col min="7" max="7" width="15.140625" style="0" customWidth="1"/>
    <col min="8" max="8" width="13.140625" style="0" customWidth="1"/>
    <col min="9" max="9" width="15.57421875" style="0" customWidth="1"/>
    <col min="10" max="10" width="14.00390625" style="0" customWidth="1"/>
    <col min="11" max="11" width="12.421875" style="0" customWidth="1"/>
    <col min="12" max="12" width="11.00390625" style="0" customWidth="1"/>
    <col min="13" max="13" width="12.7109375" style="0" customWidth="1"/>
    <col min="14" max="14" width="19.57421875" style="2" customWidth="1"/>
    <col min="15" max="15" width="26.140625" style="0" customWidth="1"/>
  </cols>
  <sheetData>
    <row r="1" ht="12.75">
      <c r="A1" s="1" t="s">
        <v>7</v>
      </c>
    </row>
    <row r="2" ht="12.75"/>
    <row r="3" spans="1:19" ht="13.5" thickBot="1">
      <c r="A3" s="84"/>
      <c r="B3" s="84"/>
      <c r="C3" s="84"/>
      <c r="D3" s="84"/>
      <c r="E3" s="84"/>
      <c r="F3" s="84"/>
      <c r="G3" s="84"/>
      <c r="H3" s="84"/>
      <c r="I3" s="84"/>
      <c r="J3" s="84"/>
      <c r="K3" s="84"/>
      <c r="L3" s="84"/>
      <c r="M3" s="84"/>
      <c r="N3" s="54"/>
      <c r="O3" s="84"/>
      <c r="P3" s="84"/>
      <c r="Q3" s="84"/>
      <c r="R3" s="84"/>
      <c r="S3" s="84"/>
    </row>
    <row r="4" ht="18.75" thickTop="1">
      <c r="A4" s="83" t="s">
        <v>476</v>
      </c>
    </row>
    <row r="5" spans="1:13" ht="12.75">
      <c r="A5" s="19" t="s">
        <v>168</v>
      </c>
      <c r="B5" s="19" t="s">
        <v>168</v>
      </c>
      <c r="C5" s="2"/>
      <c r="D5" s="2"/>
      <c r="E5" s="2"/>
      <c r="G5" s="2"/>
      <c r="H5" s="2"/>
      <c r="M5" s="65"/>
    </row>
    <row r="6" spans="1:14" ht="12.75">
      <c r="A6" s="19" t="s">
        <v>47</v>
      </c>
      <c r="B6" s="19" t="s">
        <v>47</v>
      </c>
      <c r="C6" s="19" t="s">
        <v>69</v>
      </c>
      <c r="D6" s="2"/>
      <c r="E6" s="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6" ht="15.75">
      <c r="A8" s="14" t="s">
        <v>57</v>
      </c>
      <c r="B8" s="14" t="s">
        <v>57</v>
      </c>
      <c r="C8" s="14" t="s">
        <v>60</v>
      </c>
      <c r="D8" s="14" t="s">
        <v>62</v>
      </c>
      <c r="E8" s="14" t="s">
        <v>64</v>
      </c>
      <c r="F8" s="14" t="s">
        <v>156</v>
      </c>
      <c r="G8" s="7" t="s">
        <v>91</v>
      </c>
      <c r="H8" s="7" t="s">
        <v>91</v>
      </c>
      <c r="I8" s="7" t="s">
        <v>91</v>
      </c>
      <c r="J8" s="7" t="s">
        <v>91</v>
      </c>
      <c r="K8" s="7" t="s">
        <v>91</v>
      </c>
      <c r="L8" s="20" t="s">
        <v>4</v>
      </c>
      <c r="M8" s="14" t="s">
        <v>113</v>
      </c>
      <c r="N8" s="14" t="s">
        <v>20</v>
      </c>
      <c r="O8" s="13" t="s">
        <v>67</v>
      </c>
      <c r="P8" s="7" t="s">
        <v>3</v>
      </c>
    </row>
    <row r="9" spans="1:16" s="4" customFormat="1" ht="12.75">
      <c r="A9" s="17">
        <v>155</v>
      </c>
      <c r="B9" s="17">
        <v>127</v>
      </c>
      <c r="C9" s="6" t="s">
        <v>71</v>
      </c>
      <c r="D9" s="17">
        <v>41.6</v>
      </c>
      <c r="E9" s="17">
        <v>0.23</v>
      </c>
      <c r="F9" s="178">
        <f>E9*44/36</f>
        <v>0.28111111111111114</v>
      </c>
      <c r="G9" s="17"/>
      <c r="H9" s="17" t="s">
        <v>249</v>
      </c>
      <c r="I9" s="17"/>
      <c r="J9" s="17"/>
      <c r="K9" s="17"/>
      <c r="L9" s="94">
        <f>42+3/60</f>
        <v>42.05</v>
      </c>
      <c r="M9" s="179">
        <v>0.15</v>
      </c>
      <c r="N9" s="173" t="s">
        <v>246</v>
      </c>
      <c r="O9" s="58" t="s">
        <v>247</v>
      </c>
      <c r="P9" s="180" t="s">
        <v>248</v>
      </c>
    </row>
    <row r="10" spans="1:16" s="4" customFormat="1" ht="12.75">
      <c r="A10" s="17">
        <v>155</v>
      </c>
      <c r="B10" s="17">
        <v>127</v>
      </c>
      <c r="C10" s="6" t="s">
        <v>71</v>
      </c>
      <c r="D10" s="17">
        <v>46.3</v>
      </c>
      <c r="E10" s="17">
        <v>0.18</v>
      </c>
      <c r="F10" s="178">
        <f>E10*44/36</f>
        <v>0.22</v>
      </c>
      <c r="G10" s="17"/>
      <c r="H10" s="17" t="s">
        <v>249</v>
      </c>
      <c r="I10" s="17"/>
      <c r="J10" s="17"/>
      <c r="K10" s="17"/>
      <c r="L10" s="94">
        <f>44+18/60</f>
        <v>44.3</v>
      </c>
      <c r="M10" s="179">
        <v>0.15</v>
      </c>
      <c r="N10" s="173" t="s">
        <v>246</v>
      </c>
      <c r="O10" s="58" t="s">
        <v>247</v>
      </c>
      <c r="P10" s="180" t="s">
        <v>248</v>
      </c>
    </row>
    <row r="11" spans="1:16" s="4" customFormat="1" ht="12.75">
      <c r="A11" s="17">
        <v>155</v>
      </c>
      <c r="B11" s="17">
        <v>127</v>
      </c>
      <c r="C11" s="6" t="s">
        <v>71</v>
      </c>
      <c r="D11" s="17">
        <v>49.1</v>
      </c>
      <c r="E11" s="17">
        <v>0.2</v>
      </c>
      <c r="F11" s="178">
        <f>E11*44/36</f>
        <v>0.24444444444444446</v>
      </c>
      <c r="G11" s="17"/>
      <c r="H11" s="17" t="s">
        <v>249</v>
      </c>
      <c r="I11" s="17"/>
      <c r="J11" s="17"/>
      <c r="K11" s="17"/>
      <c r="L11" s="94">
        <f>44+54/60</f>
        <v>44.9</v>
      </c>
      <c r="M11" s="179">
        <v>0.15</v>
      </c>
      <c r="N11" s="173" t="s">
        <v>246</v>
      </c>
      <c r="O11" s="58" t="s">
        <v>247</v>
      </c>
      <c r="P11" s="180" t="s">
        <v>248</v>
      </c>
    </row>
    <row r="12" spans="1:16" s="4" customFormat="1" ht="12.75">
      <c r="A12" s="5">
        <v>170</v>
      </c>
      <c r="B12" s="5">
        <v>140</v>
      </c>
      <c r="C12" s="6" t="s">
        <v>71</v>
      </c>
      <c r="D12" s="5">
        <v>88.8</v>
      </c>
      <c r="E12" s="5">
        <v>0.65</v>
      </c>
      <c r="F12" s="178">
        <f>E12*44/36</f>
        <v>0.7944444444444445</v>
      </c>
      <c r="G12" s="5">
        <v>0.015</v>
      </c>
      <c r="H12" s="5">
        <v>0.0005</v>
      </c>
      <c r="I12" s="5"/>
      <c r="J12" s="5"/>
      <c r="K12" s="5"/>
      <c r="L12" s="5">
        <f>46+12/60</f>
        <v>46.2</v>
      </c>
      <c r="M12" s="167">
        <v>0.15</v>
      </c>
      <c r="N12" s="168" t="s">
        <v>97</v>
      </c>
      <c r="O12" s="169"/>
      <c r="P12" s="58" t="s">
        <v>98</v>
      </c>
    </row>
    <row r="13" spans="1:16" s="4" customFormat="1" ht="12.75">
      <c r="A13" s="5">
        <v>170</v>
      </c>
      <c r="B13" s="5">
        <v>140</v>
      </c>
      <c r="C13" s="6" t="s">
        <v>71</v>
      </c>
      <c r="D13" s="5">
        <v>102.3</v>
      </c>
      <c r="E13" s="5">
        <v>0.14</v>
      </c>
      <c r="F13" s="262">
        <f>E13*44/36</f>
        <v>0.1711111111111111</v>
      </c>
      <c r="G13" s="6">
        <f>(0.026+0.024)/2</f>
        <v>0.025</v>
      </c>
      <c r="H13" s="5">
        <f>(0.0008+0.0008)/2</f>
        <v>0.0008</v>
      </c>
      <c r="I13" s="5">
        <v>0.03</v>
      </c>
      <c r="J13" s="5">
        <v>0.0004</v>
      </c>
      <c r="K13" s="5">
        <v>0.0005</v>
      </c>
      <c r="L13" s="5">
        <f>49+27/60</f>
        <v>49.45</v>
      </c>
      <c r="M13" s="167">
        <v>0.15</v>
      </c>
      <c r="N13" s="17" t="s">
        <v>104</v>
      </c>
      <c r="P13" s="58" t="s">
        <v>103</v>
      </c>
    </row>
    <row r="14" spans="1:16" s="4" customFormat="1" ht="12.75">
      <c r="A14" s="5">
        <v>170</v>
      </c>
      <c r="B14" s="5"/>
      <c r="C14" s="6" t="s">
        <v>129</v>
      </c>
      <c r="D14" s="5">
        <v>56.9</v>
      </c>
      <c r="E14" s="5">
        <v>0.241</v>
      </c>
      <c r="F14" s="262">
        <f aca="true" t="shared" si="0" ref="F14:F40">E14*44/36</f>
        <v>0.2945555555555555</v>
      </c>
      <c r="G14" s="263">
        <v>0.024</v>
      </c>
      <c r="H14" s="5">
        <v>0.0008</v>
      </c>
      <c r="I14" s="263">
        <v>0.03</v>
      </c>
      <c r="J14" s="5">
        <v>0.0004</v>
      </c>
      <c r="K14" s="5">
        <v>0.0005</v>
      </c>
      <c r="L14" s="5"/>
      <c r="M14" s="167">
        <v>0.15</v>
      </c>
      <c r="N14" s="5"/>
      <c r="O14" s="169" t="s">
        <v>170</v>
      </c>
      <c r="P14" s="58" t="s">
        <v>125</v>
      </c>
    </row>
    <row r="15" spans="1:16" s="4" customFormat="1" ht="12.75">
      <c r="A15" s="5">
        <v>175</v>
      </c>
      <c r="B15" s="5"/>
      <c r="C15" s="6" t="s">
        <v>71</v>
      </c>
      <c r="D15" s="5">
        <v>30</v>
      </c>
      <c r="E15" s="266">
        <v>0.28779785809906294</v>
      </c>
      <c r="F15" s="262">
        <f>E15*44/36</f>
        <v>0.35175293767663246</v>
      </c>
      <c r="G15" s="263"/>
      <c r="H15" s="5"/>
      <c r="I15" s="263"/>
      <c r="J15" s="5"/>
      <c r="K15" s="5"/>
      <c r="L15" s="5">
        <v>53</v>
      </c>
      <c r="M15" s="167">
        <v>0.13</v>
      </c>
      <c r="N15" s="5"/>
      <c r="O15" s="169" t="s">
        <v>484</v>
      </c>
      <c r="P15" s="58" t="s">
        <v>488</v>
      </c>
    </row>
    <row r="16" spans="1:16" s="4" customFormat="1" ht="12.75">
      <c r="A16" s="5">
        <v>180</v>
      </c>
      <c r="B16" s="5"/>
      <c r="C16" s="6" t="s">
        <v>71</v>
      </c>
      <c r="D16" s="5">
        <v>28</v>
      </c>
      <c r="E16" s="266">
        <v>0.9631860776439091</v>
      </c>
      <c r="F16" s="262">
        <f t="shared" si="0"/>
        <v>1.1772274282314443</v>
      </c>
      <c r="G16" s="263"/>
      <c r="H16" s="5"/>
      <c r="I16" s="263"/>
      <c r="J16" s="5"/>
      <c r="K16" s="5"/>
      <c r="L16" s="5">
        <v>63</v>
      </c>
      <c r="M16" s="167">
        <v>0.13</v>
      </c>
      <c r="N16" s="5"/>
      <c r="O16" s="169" t="s">
        <v>484</v>
      </c>
      <c r="P16" s="58" t="s">
        <v>488</v>
      </c>
    </row>
    <row r="17" spans="1:16" s="4" customFormat="1" ht="12.75">
      <c r="A17" s="5">
        <v>180</v>
      </c>
      <c r="B17" s="5"/>
      <c r="C17" s="6" t="s">
        <v>71</v>
      </c>
      <c r="D17" s="5">
        <v>31</v>
      </c>
      <c r="E17" s="266">
        <v>0.6639022757697457</v>
      </c>
      <c r="F17" s="262">
        <f t="shared" si="0"/>
        <v>0.8114361148296891</v>
      </c>
      <c r="G17" s="263"/>
      <c r="H17" s="5"/>
      <c r="I17" s="263"/>
      <c r="J17" s="5"/>
      <c r="K17" s="5"/>
      <c r="L17" s="5">
        <v>42</v>
      </c>
      <c r="M17" s="167">
        <v>0.13</v>
      </c>
      <c r="N17" s="5"/>
      <c r="O17" s="169" t="s">
        <v>484</v>
      </c>
      <c r="P17" s="58" t="s">
        <v>488</v>
      </c>
    </row>
    <row r="18" spans="1:16" s="4" customFormat="1" ht="12.75">
      <c r="A18" s="5">
        <v>180</v>
      </c>
      <c r="B18" s="5"/>
      <c r="C18" s="6" t="s">
        <v>71</v>
      </c>
      <c r="D18" s="5">
        <v>36</v>
      </c>
      <c r="E18" s="266">
        <v>0.2054082998661312</v>
      </c>
      <c r="F18" s="262">
        <f t="shared" si="0"/>
        <v>0.2510545887252715</v>
      </c>
      <c r="G18" s="263"/>
      <c r="H18" s="5"/>
      <c r="I18" s="263"/>
      <c r="J18" s="5"/>
      <c r="K18" s="5"/>
      <c r="L18" s="5">
        <v>27</v>
      </c>
      <c r="M18" s="167">
        <v>0.13</v>
      </c>
      <c r="N18" s="5"/>
      <c r="O18" s="169" t="s">
        <v>483</v>
      </c>
      <c r="P18" s="58" t="s">
        <v>488</v>
      </c>
    </row>
    <row r="19" spans="1:16" s="4" customFormat="1" ht="12.75">
      <c r="A19" s="5">
        <v>180</v>
      </c>
      <c r="B19" s="5"/>
      <c r="C19" s="6" t="s">
        <v>71</v>
      </c>
      <c r="D19" s="5">
        <v>38</v>
      </c>
      <c r="E19" s="266">
        <v>0.342</v>
      </c>
      <c r="F19" s="262">
        <f t="shared" si="0"/>
        <v>0.41800000000000004</v>
      </c>
      <c r="G19" s="263"/>
      <c r="H19" s="5"/>
      <c r="I19" s="263"/>
      <c r="J19" s="5"/>
      <c r="K19" s="5"/>
      <c r="L19" s="5">
        <v>21</v>
      </c>
      <c r="M19" s="167">
        <v>0.13</v>
      </c>
      <c r="N19" s="5"/>
      <c r="O19" s="169" t="s">
        <v>485</v>
      </c>
      <c r="P19" s="58" t="s">
        <v>488</v>
      </c>
    </row>
    <row r="20" spans="1:16" s="4" customFormat="1" ht="12.75">
      <c r="A20" s="5">
        <v>180</v>
      </c>
      <c r="B20" s="5"/>
      <c r="C20" s="6" t="s">
        <v>129</v>
      </c>
      <c r="D20" s="5">
        <v>43.7</v>
      </c>
      <c r="E20" s="5">
        <v>0.575</v>
      </c>
      <c r="F20" s="178">
        <f t="shared" si="0"/>
        <v>0.7027777777777777</v>
      </c>
      <c r="G20" s="263">
        <v>0.05</v>
      </c>
      <c r="H20" s="5">
        <v>0.0023</v>
      </c>
      <c r="I20" s="263">
        <v>0.05</v>
      </c>
      <c r="J20" s="5">
        <v>0.0005</v>
      </c>
      <c r="K20" s="5">
        <v>0.0009</v>
      </c>
      <c r="L20" s="5"/>
      <c r="M20" s="167">
        <v>0.15</v>
      </c>
      <c r="N20" s="5"/>
      <c r="O20" s="169" t="s">
        <v>171</v>
      </c>
      <c r="P20" s="58" t="s">
        <v>125</v>
      </c>
    </row>
    <row r="21" spans="1:16" s="4" customFormat="1" ht="12.75">
      <c r="A21" s="5">
        <v>180</v>
      </c>
      <c r="B21" s="5"/>
      <c r="C21" s="6" t="s">
        <v>242</v>
      </c>
      <c r="D21" s="5">
        <v>29.8</v>
      </c>
      <c r="E21" s="5">
        <v>0.39</v>
      </c>
      <c r="F21" s="178">
        <f t="shared" si="0"/>
        <v>0.4766666666666667</v>
      </c>
      <c r="G21" s="263"/>
      <c r="H21" s="5"/>
      <c r="I21" s="263"/>
      <c r="J21" s="5"/>
      <c r="K21" s="5"/>
      <c r="L21" s="5">
        <v>67.5</v>
      </c>
      <c r="M21" s="167">
        <v>0.19</v>
      </c>
      <c r="N21" s="264" t="s">
        <v>245</v>
      </c>
      <c r="O21" s="169" t="s">
        <v>243</v>
      </c>
      <c r="P21" s="58" t="s">
        <v>244</v>
      </c>
    </row>
    <row r="22" spans="1:16" s="4" customFormat="1" ht="12.75">
      <c r="A22" s="5">
        <v>180</v>
      </c>
      <c r="B22" s="5">
        <v>155</v>
      </c>
      <c r="C22" s="6" t="s">
        <v>242</v>
      </c>
      <c r="D22" s="5">
        <v>44.7</v>
      </c>
      <c r="E22" s="5">
        <v>0.845</v>
      </c>
      <c r="F22" s="178">
        <f t="shared" si="0"/>
        <v>1.0327777777777778</v>
      </c>
      <c r="G22" s="263">
        <v>0.084</v>
      </c>
      <c r="H22" s="5">
        <v>0.0019</v>
      </c>
      <c r="I22" s="263">
        <v>0.061</v>
      </c>
      <c r="J22" s="5">
        <v>0.0003</v>
      </c>
      <c r="K22" s="5">
        <v>0.0007</v>
      </c>
      <c r="L22" s="5">
        <v>111.2</v>
      </c>
      <c r="M22" s="167">
        <v>0.15</v>
      </c>
      <c r="N22" s="264" t="s">
        <v>475</v>
      </c>
      <c r="O22" s="169" t="s">
        <v>243</v>
      </c>
      <c r="P22" s="58" t="s">
        <v>477</v>
      </c>
    </row>
    <row r="23" spans="1:16" s="4" customFormat="1" ht="12.75">
      <c r="A23" s="5">
        <v>180</v>
      </c>
      <c r="B23" s="5">
        <v>120</v>
      </c>
      <c r="C23" s="6" t="s">
        <v>68</v>
      </c>
      <c r="D23" s="5">
        <v>37.3</v>
      </c>
      <c r="E23" s="5">
        <v>0.51</v>
      </c>
      <c r="F23" s="178">
        <f t="shared" si="0"/>
        <v>0.6233333333333334</v>
      </c>
      <c r="G23" s="263">
        <v>0.025</v>
      </c>
      <c r="H23" s="5">
        <v>0.00084</v>
      </c>
      <c r="I23" s="263"/>
      <c r="J23" s="5"/>
      <c r="K23" s="5"/>
      <c r="L23" s="271">
        <f>23+31/60</f>
        <v>23.516666666666666</v>
      </c>
      <c r="M23" s="177">
        <v>0.144</v>
      </c>
      <c r="N23" s="264" t="s">
        <v>497</v>
      </c>
      <c r="O23" s="169" t="s">
        <v>498</v>
      </c>
      <c r="P23" s="58" t="s">
        <v>500</v>
      </c>
    </row>
    <row r="24" spans="1:16" s="4" customFormat="1" ht="12.75">
      <c r="A24" s="5">
        <v>180</v>
      </c>
      <c r="B24" s="5">
        <v>120</v>
      </c>
      <c r="C24" s="6" t="s">
        <v>68</v>
      </c>
      <c r="D24" s="5">
        <v>44.9</v>
      </c>
      <c r="E24" s="5">
        <v>0.55</v>
      </c>
      <c r="F24" s="178">
        <f t="shared" si="0"/>
        <v>0.6722222222222223</v>
      </c>
      <c r="G24" s="263">
        <v>0.023</v>
      </c>
      <c r="H24" s="5">
        <v>0.00079</v>
      </c>
      <c r="I24" s="263"/>
      <c r="J24" s="5"/>
      <c r="K24" s="5"/>
      <c r="L24" s="271">
        <f>28+28/60</f>
        <v>28.466666666666665</v>
      </c>
      <c r="M24" s="177">
        <v>0.144</v>
      </c>
      <c r="N24" s="264" t="s">
        <v>497</v>
      </c>
      <c r="O24" s="169" t="s">
        <v>498</v>
      </c>
      <c r="P24" s="58" t="s">
        <v>500</v>
      </c>
    </row>
    <row r="25" spans="1:16" s="4" customFormat="1" ht="12.75">
      <c r="A25" s="5">
        <v>180</v>
      </c>
      <c r="B25" s="5">
        <v>120</v>
      </c>
      <c r="C25" s="6" t="s">
        <v>68</v>
      </c>
      <c r="D25" s="5">
        <v>40.3</v>
      </c>
      <c r="E25" s="5">
        <v>0.45</v>
      </c>
      <c r="F25" s="178">
        <f t="shared" si="0"/>
        <v>0.55</v>
      </c>
      <c r="G25" s="263">
        <v>0.026</v>
      </c>
      <c r="H25" s="5">
        <v>0.00166</v>
      </c>
      <c r="I25" s="263"/>
      <c r="J25" s="5"/>
      <c r="K25" s="5"/>
      <c r="L25" s="271">
        <f>27+4/60</f>
        <v>27.066666666666666</v>
      </c>
      <c r="M25" s="177">
        <v>0.147</v>
      </c>
      <c r="N25" s="264" t="s">
        <v>497</v>
      </c>
      <c r="O25" s="169" t="s">
        <v>498</v>
      </c>
      <c r="P25" s="58" t="s">
        <v>500</v>
      </c>
    </row>
    <row r="26" spans="1:16" s="4" customFormat="1" ht="12.75">
      <c r="A26" s="5">
        <v>180</v>
      </c>
      <c r="B26" s="5">
        <v>120</v>
      </c>
      <c r="C26" s="6" t="s">
        <v>68</v>
      </c>
      <c r="D26" s="5">
        <v>31.9</v>
      </c>
      <c r="E26" s="5">
        <v>0.46</v>
      </c>
      <c r="F26" s="178">
        <f t="shared" si="0"/>
        <v>0.5622222222222223</v>
      </c>
      <c r="G26" s="263">
        <v>0.018</v>
      </c>
      <c r="H26" s="5">
        <v>0.00109</v>
      </c>
      <c r="I26" s="263"/>
      <c r="J26" s="5"/>
      <c r="K26" s="5"/>
      <c r="L26" s="271">
        <f>25+13/60</f>
        <v>25.216666666666665</v>
      </c>
      <c r="M26" s="177">
        <v>0.132</v>
      </c>
      <c r="N26" s="264" t="s">
        <v>496</v>
      </c>
      <c r="O26" s="169" t="s">
        <v>498</v>
      </c>
      <c r="P26" s="58" t="s">
        <v>500</v>
      </c>
    </row>
    <row r="27" spans="1:16" s="4" customFormat="1" ht="12.75">
      <c r="A27" s="5">
        <v>200</v>
      </c>
      <c r="B27" s="5"/>
      <c r="C27" s="6" t="s">
        <v>129</v>
      </c>
      <c r="D27" s="5">
        <v>64.3</v>
      </c>
      <c r="E27" s="5">
        <v>0.707</v>
      </c>
      <c r="F27" s="178">
        <f t="shared" si="0"/>
        <v>0.864111111111111</v>
      </c>
      <c r="G27" s="263">
        <v>0.068</v>
      </c>
      <c r="H27" s="5">
        <v>0.0018</v>
      </c>
      <c r="I27" s="263">
        <v>0.043</v>
      </c>
      <c r="J27" s="5">
        <v>0.0005</v>
      </c>
      <c r="K27" s="5">
        <v>0.0009</v>
      </c>
      <c r="L27" s="5"/>
      <c r="M27" s="167">
        <v>0.15</v>
      </c>
      <c r="N27" s="5"/>
      <c r="O27" s="169" t="s">
        <v>172</v>
      </c>
      <c r="P27" s="58" t="s">
        <v>125</v>
      </c>
    </row>
    <row r="28" spans="1:16" s="21" customFormat="1" ht="12.75">
      <c r="A28" s="57">
        <v>200</v>
      </c>
      <c r="B28" s="57"/>
      <c r="C28" s="17" t="s">
        <v>129</v>
      </c>
      <c r="D28" s="57">
        <v>59.5</v>
      </c>
      <c r="E28" s="57">
        <v>0.879</v>
      </c>
      <c r="F28" s="262">
        <f>E28*44/36</f>
        <v>1.0743333333333334</v>
      </c>
      <c r="G28" s="282">
        <v>0.069</v>
      </c>
      <c r="H28" s="57">
        <v>0.0019</v>
      </c>
      <c r="I28" s="282">
        <v>0.071</v>
      </c>
      <c r="J28" s="57">
        <v>0.0006</v>
      </c>
      <c r="K28" s="57">
        <v>0.0004</v>
      </c>
      <c r="L28" s="57"/>
      <c r="M28" s="93">
        <v>0.15</v>
      </c>
      <c r="N28" s="57"/>
      <c r="O28" s="58" t="s">
        <v>172</v>
      </c>
      <c r="P28" s="58" t="s">
        <v>125</v>
      </c>
    </row>
    <row r="29" spans="1:22" s="4" customFormat="1" ht="13.5" thickBot="1">
      <c r="A29" s="89">
        <v>200</v>
      </c>
      <c r="B29" s="86"/>
      <c r="C29" s="265" t="s">
        <v>71</v>
      </c>
      <c r="D29" s="86">
        <v>69.3</v>
      </c>
      <c r="E29" s="86">
        <v>0.66</v>
      </c>
      <c r="F29" s="110">
        <f>E29*44/36</f>
        <v>0.8066666666666668</v>
      </c>
      <c r="G29" s="86">
        <v>0.08</v>
      </c>
      <c r="H29" s="86">
        <v>0.003</v>
      </c>
      <c r="I29" s="86">
        <v>0.037</v>
      </c>
      <c r="J29" s="86">
        <v>0.0006</v>
      </c>
      <c r="K29" s="86">
        <v>0.0017</v>
      </c>
      <c r="L29" s="86">
        <v>20.83</v>
      </c>
      <c r="M29" s="90">
        <v>0.15</v>
      </c>
      <c r="N29" s="283" t="s">
        <v>513</v>
      </c>
      <c r="O29" s="30"/>
      <c r="P29" s="91" t="s">
        <v>512</v>
      </c>
      <c r="Q29" s="35"/>
      <c r="R29" s="35"/>
      <c r="S29" s="35"/>
      <c r="T29" s="35"/>
      <c r="U29" s="35"/>
      <c r="V29" s="35"/>
    </row>
    <row r="30" spans="1:16" s="4" customFormat="1" ht="12.75">
      <c r="A30" s="5">
        <v>220</v>
      </c>
      <c r="B30" s="5">
        <v>165</v>
      </c>
      <c r="C30" s="6" t="s">
        <v>71</v>
      </c>
      <c r="D30" s="5">
        <v>73</v>
      </c>
      <c r="E30" s="5">
        <v>1.2</v>
      </c>
      <c r="F30" s="178">
        <f t="shared" si="0"/>
        <v>1.4666666666666666</v>
      </c>
      <c r="G30" s="5"/>
      <c r="H30" s="5"/>
      <c r="I30" s="5"/>
      <c r="J30" s="5"/>
      <c r="K30" s="5"/>
      <c r="L30" s="5">
        <v>46</v>
      </c>
      <c r="M30" s="167">
        <v>0.12</v>
      </c>
      <c r="N30" s="5"/>
      <c r="P30" s="169" t="s">
        <v>119</v>
      </c>
    </row>
    <row r="31" spans="1:16" s="4" customFormat="1" ht="12.75">
      <c r="A31" s="5">
        <v>220</v>
      </c>
      <c r="B31" s="5">
        <v>165</v>
      </c>
      <c r="C31" s="6" t="s">
        <v>71</v>
      </c>
      <c r="D31" s="5">
        <v>73</v>
      </c>
      <c r="E31" s="5">
        <v>1.3</v>
      </c>
      <c r="F31" s="178">
        <f t="shared" si="0"/>
        <v>1.588888888888889</v>
      </c>
      <c r="G31" s="5"/>
      <c r="H31" s="5"/>
      <c r="I31" s="5"/>
      <c r="J31" s="5"/>
      <c r="K31" s="5"/>
      <c r="L31" s="5">
        <v>46</v>
      </c>
      <c r="M31" s="167">
        <v>0.15</v>
      </c>
      <c r="N31" s="5"/>
      <c r="P31" s="169" t="s">
        <v>119</v>
      </c>
    </row>
    <row r="32" spans="1:16" s="4" customFormat="1" ht="12.75">
      <c r="A32" s="5">
        <v>235</v>
      </c>
      <c r="B32" s="5"/>
      <c r="C32" s="6" t="s">
        <v>129</v>
      </c>
      <c r="D32" s="5">
        <v>47.7</v>
      </c>
      <c r="E32" s="5">
        <v>1.206</v>
      </c>
      <c r="F32" s="178">
        <f t="shared" si="0"/>
        <v>1.474</v>
      </c>
      <c r="G32" s="263">
        <v>0.117</v>
      </c>
      <c r="H32" s="5">
        <v>0.0043</v>
      </c>
      <c r="I32" s="263">
        <v>0.067</v>
      </c>
      <c r="J32" s="5">
        <v>0.0008</v>
      </c>
      <c r="K32" s="5">
        <v>0.0012</v>
      </c>
      <c r="L32" s="5"/>
      <c r="M32" s="167">
        <v>0.15</v>
      </c>
      <c r="N32" s="5"/>
      <c r="O32" s="169" t="s">
        <v>171</v>
      </c>
      <c r="P32" s="58" t="s">
        <v>125</v>
      </c>
    </row>
    <row r="33" spans="1:16" ht="12.75">
      <c r="A33" s="19" t="s">
        <v>117</v>
      </c>
      <c r="B33" s="2"/>
      <c r="C33" s="19" t="s">
        <v>68</v>
      </c>
      <c r="D33" s="2">
        <v>63.1</v>
      </c>
      <c r="E33" s="2">
        <v>1</v>
      </c>
      <c r="F33" s="109">
        <f t="shared" si="0"/>
        <v>1.2222222222222223</v>
      </c>
      <c r="L33" s="2"/>
      <c r="M33" s="66">
        <v>0.12</v>
      </c>
      <c r="P33" s="58" t="s">
        <v>118</v>
      </c>
    </row>
    <row r="34" spans="1:16" ht="12.75">
      <c r="A34" s="19" t="s">
        <v>117</v>
      </c>
      <c r="B34" s="2"/>
      <c r="C34" s="19" t="s">
        <v>68</v>
      </c>
      <c r="D34" s="2">
        <v>63.6</v>
      </c>
      <c r="E34" s="2">
        <v>0.96</v>
      </c>
      <c r="F34" s="109">
        <f t="shared" si="0"/>
        <v>1.1733333333333331</v>
      </c>
      <c r="L34" s="2"/>
      <c r="M34" s="66">
        <v>0.12</v>
      </c>
      <c r="P34" s="58" t="s">
        <v>118</v>
      </c>
    </row>
    <row r="35" spans="1:16" ht="12.75">
      <c r="A35" s="19" t="s">
        <v>117</v>
      </c>
      <c r="B35" s="2"/>
      <c r="C35" s="19" t="s">
        <v>68</v>
      </c>
      <c r="D35" s="2">
        <v>60.1</v>
      </c>
      <c r="E35" s="2">
        <v>0.66</v>
      </c>
      <c r="F35" s="109">
        <f t="shared" si="0"/>
        <v>0.8066666666666668</v>
      </c>
      <c r="L35" s="2"/>
      <c r="M35" s="66">
        <v>0.12</v>
      </c>
      <c r="P35" s="58" t="s">
        <v>118</v>
      </c>
    </row>
    <row r="36" spans="1:16" ht="12.75">
      <c r="A36" s="19" t="s">
        <v>117</v>
      </c>
      <c r="B36" s="2"/>
      <c r="C36" s="19" t="s">
        <v>68</v>
      </c>
      <c r="D36" s="2">
        <v>50.1</v>
      </c>
      <c r="E36" s="2">
        <v>0.73</v>
      </c>
      <c r="F36" s="109">
        <f t="shared" si="0"/>
        <v>0.8922222222222221</v>
      </c>
      <c r="L36" s="2"/>
      <c r="M36" s="66">
        <v>0.12</v>
      </c>
      <c r="P36" s="58" t="s">
        <v>118</v>
      </c>
    </row>
    <row r="37" spans="1:16" ht="12.75">
      <c r="A37" s="19" t="s">
        <v>117</v>
      </c>
      <c r="B37" s="2"/>
      <c r="C37" s="19" t="s">
        <v>68</v>
      </c>
      <c r="D37" s="2">
        <v>64.2</v>
      </c>
      <c r="E37" s="2">
        <v>0.85</v>
      </c>
      <c r="F37" s="109">
        <f t="shared" si="0"/>
        <v>1.0388888888888888</v>
      </c>
      <c r="L37" s="2"/>
      <c r="M37" s="66">
        <v>0.12</v>
      </c>
      <c r="P37" s="58" t="s">
        <v>118</v>
      </c>
    </row>
    <row r="38" spans="1:16" ht="12.75">
      <c r="A38" s="19" t="s">
        <v>117</v>
      </c>
      <c r="B38" s="2"/>
      <c r="C38" s="19" t="s">
        <v>68</v>
      </c>
      <c r="D38" s="2">
        <v>64.5</v>
      </c>
      <c r="E38" s="2">
        <v>0.75</v>
      </c>
      <c r="F38" s="109">
        <f t="shared" si="0"/>
        <v>0.9166666666666666</v>
      </c>
      <c r="L38" s="2"/>
      <c r="M38" s="66">
        <v>0.12</v>
      </c>
      <c r="P38" s="58" t="s">
        <v>118</v>
      </c>
    </row>
    <row r="39" spans="1:16" ht="12.75">
      <c r="A39" s="19" t="s">
        <v>117</v>
      </c>
      <c r="B39" s="2"/>
      <c r="C39" s="19" t="s">
        <v>68</v>
      </c>
      <c r="D39" s="2">
        <v>64.7</v>
      </c>
      <c r="E39" s="2">
        <v>0.74</v>
      </c>
      <c r="F39" s="109">
        <f t="shared" si="0"/>
        <v>0.9044444444444445</v>
      </c>
      <c r="L39" s="2"/>
      <c r="M39" s="66">
        <v>0.12</v>
      </c>
      <c r="P39" s="58" t="s">
        <v>118</v>
      </c>
    </row>
    <row r="40" spans="1:16" ht="12.75">
      <c r="A40" s="19" t="s">
        <v>117</v>
      </c>
      <c r="B40" s="2"/>
      <c r="C40" s="19" t="s">
        <v>68</v>
      </c>
      <c r="D40" s="2">
        <v>63.9</v>
      </c>
      <c r="E40" s="2">
        <v>0.61</v>
      </c>
      <c r="F40" s="109">
        <f t="shared" si="0"/>
        <v>0.7455555555555555</v>
      </c>
      <c r="L40" s="2"/>
      <c r="M40" s="66">
        <v>0.12</v>
      </c>
      <c r="P40" s="58" t="s">
        <v>118</v>
      </c>
    </row>
    <row r="41" ht="12.75"/>
    <row r="42" spans="1:16" ht="12.75">
      <c r="A42" s="19"/>
      <c r="B42" s="2"/>
      <c r="C42" s="19"/>
      <c r="D42" s="2"/>
      <c r="E42" s="2"/>
      <c r="F42" s="109"/>
      <c r="L42" s="2"/>
      <c r="M42" s="66"/>
      <c r="P42" s="58"/>
    </row>
    <row r="43" ht="12.75">
      <c r="B43" s="2"/>
    </row>
    <row r="44" ht="12.75">
      <c r="B44" s="2"/>
    </row>
    <row r="45" ht="12.75">
      <c r="B45" s="2"/>
    </row>
    <row r="46" ht="12.75">
      <c r="B46" s="2"/>
    </row>
    <row r="47" ht="12.75"/>
    <row r="48" ht="15.75">
      <c r="K48" s="284"/>
    </row>
    <row r="49" ht="15.75">
      <c r="K49" s="284"/>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spans="1:12" ht="12.75">
      <c r="A101" s="19" t="s">
        <v>59</v>
      </c>
      <c r="B101" s="19" t="s">
        <v>59</v>
      </c>
      <c r="C101" s="2"/>
      <c r="D101" s="2"/>
      <c r="E101" s="2"/>
      <c r="F101" s="2"/>
      <c r="G101" s="2"/>
      <c r="L101" s="65"/>
    </row>
    <row r="102" spans="1:13" ht="12.75">
      <c r="A102" s="19" t="s">
        <v>47</v>
      </c>
      <c r="B102" s="19" t="s">
        <v>47</v>
      </c>
      <c r="C102" s="19" t="s">
        <v>69</v>
      </c>
      <c r="D102" s="2"/>
      <c r="E102" s="2"/>
      <c r="K102" s="19" t="s">
        <v>110</v>
      </c>
      <c r="L102" s="65" t="s">
        <v>59</v>
      </c>
      <c r="M102" s="19" t="s">
        <v>65</v>
      </c>
    </row>
    <row r="103" spans="1:13" ht="12.75">
      <c r="A103" s="19" t="s">
        <v>56</v>
      </c>
      <c r="B103" s="19" t="s">
        <v>58</v>
      </c>
      <c r="C103" s="19" t="s">
        <v>38</v>
      </c>
      <c r="D103" s="19" t="s">
        <v>61</v>
      </c>
      <c r="E103" s="19" t="s">
        <v>63</v>
      </c>
      <c r="F103" s="19" t="s">
        <v>90</v>
      </c>
      <c r="G103" s="19" t="s">
        <v>1</v>
      </c>
      <c r="H103" s="19" t="s">
        <v>2</v>
      </c>
      <c r="I103" s="19" t="s">
        <v>101</v>
      </c>
      <c r="J103" s="19" t="s">
        <v>102</v>
      </c>
      <c r="K103" s="19" t="s">
        <v>111</v>
      </c>
      <c r="L103" s="22" t="s">
        <v>112</v>
      </c>
      <c r="M103" s="19" t="s">
        <v>66</v>
      </c>
    </row>
    <row r="104" spans="1:15" ht="12.75">
      <c r="A104" s="14" t="s">
        <v>57</v>
      </c>
      <c r="B104" s="14" t="s">
        <v>57</v>
      </c>
      <c r="C104" s="14" t="s">
        <v>60</v>
      </c>
      <c r="D104" s="14" t="s">
        <v>62</v>
      </c>
      <c r="E104" s="14" t="s">
        <v>150</v>
      </c>
      <c r="F104" s="7" t="s">
        <v>151</v>
      </c>
      <c r="G104" s="7" t="s">
        <v>151</v>
      </c>
      <c r="H104" s="7" t="s">
        <v>151</v>
      </c>
      <c r="I104" s="7" t="s">
        <v>151</v>
      </c>
      <c r="J104" s="7" t="s">
        <v>151</v>
      </c>
      <c r="K104" s="20" t="s">
        <v>4</v>
      </c>
      <c r="L104" s="14" t="s">
        <v>113</v>
      </c>
      <c r="M104" s="14" t="s">
        <v>20</v>
      </c>
      <c r="N104" s="14" t="s">
        <v>67</v>
      </c>
      <c r="O104" s="7" t="s">
        <v>3</v>
      </c>
    </row>
    <row r="105" spans="1:15" ht="12.75">
      <c r="A105" s="2">
        <v>170</v>
      </c>
      <c r="B105" s="2">
        <v>140</v>
      </c>
      <c r="C105" s="19" t="s">
        <v>71</v>
      </c>
      <c r="D105" s="2">
        <v>88.8</v>
      </c>
      <c r="E105" s="2">
        <v>0.65</v>
      </c>
      <c r="F105" s="2">
        <v>0.015</v>
      </c>
      <c r="G105" s="2">
        <v>0.0005</v>
      </c>
      <c r="H105" s="2"/>
      <c r="I105" s="2"/>
      <c r="J105" s="2"/>
      <c r="K105" s="2">
        <f>46+12/60</f>
        <v>46.2</v>
      </c>
      <c r="L105" s="66">
        <v>0.15</v>
      </c>
      <c r="M105" s="45" t="s">
        <v>97</v>
      </c>
      <c r="N105" s="19"/>
      <c r="O105" s="58" t="s">
        <v>98</v>
      </c>
    </row>
    <row r="106" spans="1:15" ht="12.75">
      <c r="A106" s="2">
        <v>170</v>
      </c>
      <c r="B106" s="2">
        <v>140</v>
      </c>
      <c r="C106" s="19" t="s">
        <v>71</v>
      </c>
      <c r="D106" s="2">
        <v>102.3</v>
      </c>
      <c r="E106" s="2">
        <v>0.14</v>
      </c>
      <c r="F106" s="19">
        <f>(0.026+0.024)/2</f>
        <v>0.025</v>
      </c>
      <c r="G106" s="2">
        <f>(0.0008+0.0008)/2</f>
        <v>0.0008</v>
      </c>
      <c r="H106" s="2">
        <v>0.03</v>
      </c>
      <c r="I106" s="2">
        <v>0.0004</v>
      </c>
      <c r="J106" s="2">
        <v>0.0005</v>
      </c>
      <c r="K106" s="2">
        <f>49+27/60</f>
        <v>49.45</v>
      </c>
      <c r="L106" s="66">
        <v>0.15</v>
      </c>
      <c r="M106" s="17" t="s">
        <v>104</v>
      </c>
      <c r="O106" s="58" t="s">
        <v>103</v>
      </c>
    </row>
    <row r="107" spans="1:15" ht="12.75">
      <c r="A107" s="2">
        <v>170</v>
      </c>
      <c r="B107" s="2"/>
      <c r="C107" s="2"/>
      <c r="D107" s="2">
        <v>56.9</v>
      </c>
      <c r="E107" s="2">
        <v>0.241</v>
      </c>
      <c r="F107" s="2">
        <v>0.024</v>
      </c>
      <c r="G107" s="2">
        <v>0.0008</v>
      </c>
      <c r="H107" s="2">
        <v>0.03</v>
      </c>
      <c r="I107" s="2">
        <v>0.0004</v>
      </c>
      <c r="J107" s="2">
        <v>0.0005</v>
      </c>
      <c r="K107" s="2"/>
      <c r="L107" s="66">
        <v>0.15</v>
      </c>
      <c r="O107" s="58" t="s">
        <v>109</v>
      </c>
    </row>
    <row r="108" spans="1:15" ht="12.75">
      <c r="A108" s="2">
        <v>180</v>
      </c>
      <c r="B108" s="2"/>
      <c r="C108" s="2"/>
      <c r="D108" s="2">
        <v>43.7</v>
      </c>
      <c r="E108" s="2">
        <v>0.575</v>
      </c>
      <c r="F108" s="2">
        <v>0.05</v>
      </c>
      <c r="G108" s="2">
        <v>0.0023</v>
      </c>
      <c r="H108" s="2">
        <v>0.05</v>
      </c>
      <c r="I108" s="2">
        <v>0.0005</v>
      </c>
      <c r="J108" s="2">
        <v>0.0009</v>
      </c>
      <c r="K108" s="2"/>
      <c r="L108" s="66">
        <v>0.15</v>
      </c>
      <c r="O108" s="58" t="s">
        <v>109</v>
      </c>
    </row>
    <row r="109" spans="1:15" ht="12.75">
      <c r="A109" s="2">
        <v>200</v>
      </c>
      <c r="B109" s="2"/>
      <c r="C109" s="2"/>
      <c r="D109" s="2">
        <v>64.3</v>
      </c>
      <c r="E109" s="2">
        <v>0.707</v>
      </c>
      <c r="F109" s="2">
        <v>0.068</v>
      </c>
      <c r="G109" s="2">
        <v>0.0018</v>
      </c>
      <c r="H109" s="2">
        <v>0.043</v>
      </c>
      <c r="I109" s="2">
        <v>0.0005</v>
      </c>
      <c r="J109" s="2">
        <v>0.0009</v>
      </c>
      <c r="K109" s="2"/>
      <c r="L109" s="66">
        <v>0.15</v>
      </c>
      <c r="O109" s="58" t="s">
        <v>109</v>
      </c>
    </row>
    <row r="110" spans="1:15" ht="12.75">
      <c r="A110" s="2">
        <v>200</v>
      </c>
      <c r="B110" s="2"/>
      <c r="C110" s="2"/>
      <c r="D110" s="2">
        <v>59.5</v>
      </c>
      <c r="E110" s="2">
        <v>0.879</v>
      </c>
      <c r="F110" s="2">
        <v>0.069</v>
      </c>
      <c r="G110" s="2">
        <v>0.0019</v>
      </c>
      <c r="H110" s="2">
        <v>0.071</v>
      </c>
      <c r="I110" s="2">
        <v>0.0006</v>
      </c>
      <c r="J110" s="2">
        <v>0.0004</v>
      </c>
      <c r="K110" s="2"/>
      <c r="L110" s="66">
        <v>0.15</v>
      </c>
      <c r="O110" s="58" t="s">
        <v>109</v>
      </c>
    </row>
    <row r="111" spans="1:15" ht="12.75">
      <c r="A111" s="19" t="s">
        <v>117</v>
      </c>
      <c r="C111" s="19" t="s">
        <v>68</v>
      </c>
      <c r="D111" s="2">
        <v>63.1</v>
      </c>
      <c r="E111" s="2">
        <v>1</v>
      </c>
      <c r="K111" s="2"/>
      <c r="L111" s="66">
        <v>0.12</v>
      </c>
      <c r="O111" s="58" t="s">
        <v>118</v>
      </c>
    </row>
    <row r="112" spans="1:15" ht="12.75">
      <c r="A112" s="19" t="s">
        <v>117</v>
      </c>
      <c r="C112" s="19" t="s">
        <v>68</v>
      </c>
      <c r="D112" s="2">
        <v>63.6</v>
      </c>
      <c r="E112" s="2">
        <v>0.96</v>
      </c>
      <c r="K112" s="2"/>
      <c r="L112" s="66">
        <v>0.12</v>
      </c>
      <c r="O112" s="58" t="s">
        <v>118</v>
      </c>
    </row>
    <row r="113" spans="1:15" ht="12.75">
      <c r="A113" s="19" t="s">
        <v>117</v>
      </c>
      <c r="C113" s="19" t="s">
        <v>68</v>
      </c>
      <c r="D113" s="2">
        <v>60.1</v>
      </c>
      <c r="E113" s="2">
        <v>0.66</v>
      </c>
      <c r="K113" s="2"/>
      <c r="L113" s="66">
        <v>0.12</v>
      </c>
      <c r="O113" s="58" t="s">
        <v>118</v>
      </c>
    </row>
    <row r="114" spans="1:15" ht="12.75">
      <c r="A114" s="19" t="s">
        <v>117</v>
      </c>
      <c r="C114" s="19" t="s">
        <v>68</v>
      </c>
      <c r="D114" s="2">
        <v>50.1</v>
      </c>
      <c r="E114" s="2">
        <v>0.73</v>
      </c>
      <c r="K114" s="2"/>
      <c r="L114" s="66">
        <v>0.12</v>
      </c>
      <c r="O114" s="58" t="s">
        <v>118</v>
      </c>
    </row>
    <row r="115" spans="1:15" ht="12.75">
      <c r="A115" s="19" t="s">
        <v>117</v>
      </c>
      <c r="C115" s="19" t="s">
        <v>68</v>
      </c>
      <c r="D115" s="2">
        <v>64.2</v>
      </c>
      <c r="E115" s="2">
        <v>0.85</v>
      </c>
      <c r="K115" s="2"/>
      <c r="L115" s="66">
        <v>0.12</v>
      </c>
      <c r="O115" s="58" t="s">
        <v>118</v>
      </c>
    </row>
    <row r="116" spans="1:15" ht="12.75">
      <c r="A116" s="19" t="s">
        <v>117</v>
      </c>
      <c r="C116" s="19" t="s">
        <v>68</v>
      </c>
      <c r="D116" s="2">
        <v>64.5</v>
      </c>
      <c r="E116" s="2">
        <v>0.75</v>
      </c>
      <c r="K116" s="2"/>
      <c r="L116" s="66">
        <v>0.12</v>
      </c>
      <c r="O116" s="58" t="s">
        <v>118</v>
      </c>
    </row>
    <row r="117" spans="1:15" ht="12.75">
      <c r="A117" s="19" t="s">
        <v>117</v>
      </c>
      <c r="C117" s="19" t="s">
        <v>68</v>
      </c>
      <c r="D117" s="2">
        <v>64.7</v>
      </c>
      <c r="E117" s="2">
        <v>0.74</v>
      </c>
      <c r="K117" s="2"/>
      <c r="L117" s="66">
        <v>0.12</v>
      </c>
      <c r="O117" s="58" t="s">
        <v>118</v>
      </c>
    </row>
    <row r="118" spans="1:15" ht="12.75">
      <c r="A118" s="19" t="s">
        <v>117</v>
      </c>
      <c r="C118" s="19" t="s">
        <v>68</v>
      </c>
      <c r="D118" s="2">
        <v>63.9</v>
      </c>
      <c r="E118" s="2">
        <v>0.61</v>
      </c>
      <c r="K118" s="2"/>
      <c r="L118" s="66">
        <v>0.12</v>
      </c>
      <c r="O118" s="58" t="s">
        <v>118</v>
      </c>
    </row>
    <row r="119" spans="1:15" ht="12.75">
      <c r="A119" s="2">
        <v>220</v>
      </c>
      <c r="B119">
        <v>165</v>
      </c>
      <c r="C119" s="19" t="s">
        <v>71</v>
      </c>
      <c r="D119" s="2">
        <v>73</v>
      </c>
      <c r="E119" s="2">
        <v>1.2</v>
      </c>
      <c r="K119" s="2">
        <v>46</v>
      </c>
      <c r="L119" s="66">
        <v>0.12</v>
      </c>
      <c r="O119" s="3" t="s">
        <v>119</v>
      </c>
    </row>
    <row r="120" spans="1:15" ht="12.75">
      <c r="A120" s="2">
        <v>220</v>
      </c>
      <c r="B120">
        <v>165</v>
      </c>
      <c r="C120" s="19" t="s">
        <v>71</v>
      </c>
      <c r="D120" s="2">
        <v>73</v>
      </c>
      <c r="E120" s="2">
        <v>1.3</v>
      </c>
      <c r="K120" s="2">
        <v>46</v>
      </c>
      <c r="L120" s="66">
        <v>0.15</v>
      </c>
      <c r="O120" s="3" t="s">
        <v>119</v>
      </c>
    </row>
    <row r="121" spans="1:15" ht="12.75">
      <c r="A121" s="2">
        <v>170</v>
      </c>
      <c r="C121" s="19" t="s">
        <v>129</v>
      </c>
      <c r="D121" s="2">
        <v>56.9</v>
      </c>
      <c r="E121" s="2">
        <v>0.241</v>
      </c>
      <c r="F121" s="8">
        <v>0.024</v>
      </c>
      <c r="G121">
        <v>0.0008</v>
      </c>
      <c r="H121" s="8">
        <v>0.03</v>
      </c>
      <c r="I121">
        <v>0.0004</v>
      </c>
      <c r="J121">
        <v>0.0005</v>
      </c>
      <c r="L121" s="66">
        <v>0.15</v>
      </c>
      <c r="N121" s="19" t="s">
        <v>126</v>
      </c>
      <c r="O121" s="58" t="s">
        <v>125</v>
      </c>
    </row>
    <row r="122" spans="1:15" ht="12.75">
      <c r="A122" s="2">
        <v>180</v>
      </c>
      <c r="C122" s="19" t="s">
        <v>129</v>
      </c>
      <c r="D122" s="2">
        <v>43.7</v>
      </c>
      <c r="E122" s="2">
        <v>0.575</v>
      </c>
      <c r="F122" s="8">
        <v>0.05</v>
      </c>
      <c r="G122">
        <v>0.0023</v>
      </c>
      <c r="H122" s="8">
        <v>0.05</v>
      </c>
      <c r="I122">
        <v>0.0005</v>
      </c>
      <c r="J122">
        <v>0.0009</v>
      </c>
      <c r="L122" s="66">
        <v>0.15</v>
      </c>
      <c r="N122" s="19" t="s">
        <v>127</v>
      </c>
      <c r="O122" s="58" t="s">
        <v>125</v>
      </c>
    </row>
    <row r="123" spans="1:15" ht="12.75">
      <c r="A123" s="2">
        <v>200</v>
      </c>
      <c r="C123" s="19" t="s">
        <v>129</v>
      </c>
      <c r="D123" s="2">
        <v>64.3</v>
      </c>
      <c r="E123" s="2">
        <v>0.707</v>
      </c>
      <c r="F123" s="8">
        <v>0.068</v>
      </c>
      <c r="G123">
        <v>0.0018</v>
      </c>
      <c r="H123" s="8">
        <v>0.043</v>
      </c>
      <c r="I123">
        <v>0.0005</v>
      </c>
      <c r="J123">
        <v>0.0009</v>
      </c>
      <c r="L123" s="66">
        <v>0.15</v>
      </c>
      <c r="N123" s="19" t="s">
        <v>128</v>
      </c>
      <c r="O123" s="58" t="s">
        <v>125</v>
      </c>
    </row>
    <row r="124" spans="1:15" ht="12.75">
      <c r="A124" s="2">
        <v>200</v>
      </c>
      <c r="C124" s="19" t="s">
        <v>129</v>
      </c>
      <c r="D124" s="2">
        <v>59.5</v>
      </c>
      <c r="E124" s="2">
        <v>0.879</v>
      </c>
      <c r="F124" s="8">
        <v>0.069</v>
      </c>
      <c r="G124">
        <v>0.0019</v>
      </c>
      <c r="H124" s="8">
        <v>0.071</v>
      </c>
      <c r="I124">
        <v>0.0006</v>
      </c>
      <c r="J124">
        <v>0.0004</v>
      </c>
      <c r="L124" s="66">
        <v>0.15</v>
      </c>
      <c r="N124" s="19" t="s">
        <v>128</v>
      </c>
      <c r="O124" s="58" t="s">
        <v>125</v>
      </c>
    </row>
    <row r="125" spans="1:15" ht="12.75">
      <c r="A125" s="2">
        <v>235</v>
      </c>
      <c r="C125" s="19" t="s">
        <v>129</v>
      </c>
      <c r="D125" s="2">
        <v>47.7</v>
      </c>
      <c r="E125" s="2">
        <v>1.206</v>
      </c>
      <c r="F125" s="8">
        <v>0.117</v>
      </c>
      <c r="G125">
        <v>0.0043</v>
      </c>
      <c r="H125" s="8">
        <v>0.067</v>
      </c>
      <c r="I125">
        <v>0.0008</v>
      </c>
      <c r="J125">
        <v>0.0012</v>
      </c>
      <c r="L125" s="66">
        <v>0.15</v>
      </c>
      <c r="N125" s="19" t="s">
        <v>127</v>
      </c>
      <c r="O125" s="58" t="s">
        <v>125</v>
      </c>
    </row>
    <row r="133" ht="12.75">
      <c r="A133" s="108" t="s">
        <v>169</v>
      </c>
    </row>
    <row r="134" spans="1:14" s="13" customFormat="1" ht="26.25">
      <c r="A134" s="24" t="s">
        <v>9</v>
      </c>
      <c r="B134" s="25" t="s">
        <v>10</v>
      </c>
      <c r="C134" s="24" t="s">
        <v>13</v>
      </c>
      <c r="D134" s="24" t="s">
        <v>20</v>
      </c>
      <c r="E134" s="25" t="s">
        <v>21</v>
      </c>
      <c r="F134" s="25" t="s">
        <v>22</v>
      </c>
      <c r="G134" s="25" t="s">
        <v>23</v>
      </c>
      <c r="N134" s="14"/>
    </row>
    <row r="135" spans="1:7" ht="13.5" thickBot="1">
      <c r="A135" s="27" t="s">
        <v>24</v>
      </c>
      <c r="B135" s="27"/>
      <c r="C135" s="27">
        <v>0.62</v>
      </c>
      <c r="D135" s="27">
        <v>1994</v>
      </c>
      <c r="E135" s="27"/>
      <c r="F135" s="27" t="s">
        <v>25</v>
      </c>
      <c r="G135" s="27" t="s">
        <v>26</v>
      </c>
    </row>
    <row r="136" spans="1:6" ht="12.75">
      <c r="A136" t="s">
        <v>30</v>
      </c>
      <c r="B136">
        <v>8</v>
      </c>
      <c r="C136" s="10">
        <v>0.31</v>
      </c>
      <c r="D136" s="33">
        <v>35462</v>
      </c>
      <c r="E136" t="s">
        <v>28</v>
      </c>
      <c r="F136" t="s">
        <v>29</v>
      </c>
    </row>
    <row r="137" spans="2:6" ht="12.75">
      <c r="B137">
        <v>12</v>
      </c>
      <c r="C137" s="10">
        <v>0.25</v>
      </c>
      <c r="D137" s="33">
        <v>35462</v>
      </c>
      <c r="E137" t="s">
        <v>28</v>
      </c>
      <c r="F137" t="s">
        <v>29</v>
      </c>
    </row>
    <row r="138" spans="2:6" ht="12.75">
      <c r="B138">
        <v>16</v>
      </c>
      <c r="C138" s="10">
        <v>0.18</v>
      </c>
      <c r="D138" s="33">
        <v>35462</v>
      </c>
      <c r="E138" t="s">
        <v>28</v>
      </c>
      <c r="F138" t="s">
        <v>29</v>
      </c>
    </row>
    <row r="139" spans="2:6" ht="12.75">
      <c r="B139">
        <v>20</v>
      </c>
      <c r="C139" s="21">
        <v>0.1</v>
      </c>
      <c r="D139" s="33">
        <v>35462</v>
      </c>
      <c r="E139" t="s">
        <v>28</v>
      </c>
      <c r="F139" t="s">
        <v>29</v>
      </c>
    </row>
    <row r="140" spans="2:6" ht="12.75">
      <c r="B140">
        <v>30</v>
      </c>
      <c r="C140" s="21">
        <v>0</v>
      </c>
      <c r="D140" s="33">
        <v>35462</v>
      </c>
      <c r="E140" t="s">
        <v>28</v>
      </c>
      <c r="F140" t="s">
        <v>29</v>
      </c>
    </row>
    <row r="141" spans="1:7" ht="13.5" thickBot="1">
      <c r="A141" s="30"/>
      <c r="B141" s="30">
        <v>40</v>
      </c>
      <c r="C141" s="30">
        <v>0</v>
      </c>
      <c r="D141" s="34">
        <v>35462</v>
      </c>
      <c r="E141" s="30" t="s">
        <v>28</v>
      </c>
      <c r="F141" s="30" t="s">
        <v>29</v>
      </c>
      <c r="G141" s="30"/>
    </row>
    <row r="142" spans="1:7" ht="12.75">
      <c r="A142" s="10" t="s">
        <v>41</v>
      </c>
      <c r="B142" s="21">
        <v>19</v>
      </c>
      <c r="C142" s="10">
        <v>0.39</v>
      </c>
      <c r="D142" s="36">
        <v>38504</v>
      </c>
      <c r="E142" s="21" t="s">
        <v>37</v>
      </c>
      <c r="F142" s="10"/>
      <c r="G142" s="10"/>
    </row>
    <row r="143" spans="1:7" ht="12.75">
      <c r="A143" s="10" t="s">
        <v>42</v>
      </c>
      <c r="B143" s="10"/>
      <c r="C143" s="10"/>
      <c r="E143" s="10"/>
      <c r="F143" s="10"/>
      <c r="G143" s="10"/>
    </row>
    <row r="144" spans="1:7" ht="12.75">
      <c r="A144" s="10"/>
      <c r="B144" s="10"/>
      <c r="C144" s="10"/>
      <c r="E144" s="10"/>
      <c r="F144" s="10"/>
      <c r="G144" s="10"/>
    </row>
    <row r="145" spans="1:7" ht="12.75">
      <c r="A145" s="10"/>
      <c r="B145" s="10"/>
      <c r="C145" s="10"/>
      <c r="E145" s="10"/>
      <c r="F145" s="10"/>
      <c r="G145" s="10"/>
    </row>
    <row r="147" ht="12.75">
      <c r="A147" t="s">
        <v>43</v>
      </c>
    </row>
    <row r="148" ht="12.75">
      <c r="A148" t="s">
        <v>44</v>
      </c>
    </row>
  </sheetData>
  <sheetProtection/>
  <printOptions/>
  <pageMargins left="0.7" right="0.7" top="0.75" bottom="0.75" header="0.3" footer="0.3"/>
  <pageSetup fitToHeight="1" fitToWidth="1" horizontalDpi="600" verticalDpi="600" orientation="landscape" scale="6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3:P18"/>
  <sheetViews>
    <sheetView zoomScalePageLayoutView="0" workbookViewId="0" topLeftCell="A16">
      <selection activeCell="I20" sqref="I20"/>
    </sheetView>
  </sheetViews>
  <sheetFormatPr defaultColWidth="9.140625" defaultRowHeight="12.75"/>
  <cols>
    <col min="1" max="2" width="13.00390625" style="2" customWidth="1"/>
    <col min="3" max="3" width="9.140625" style="2" customWidth="1"/>
    <col min="4" max="4" width="13.00390625" style="2" customWidth="1"/>
    <col min="5" max="5" width="11.28125" style="2" customWidth="1"/>
    <col min="6" max="6" width="13.421875" style="2" customWidth="1"/>
    <col min="7" max="7" width="10.57421875" style="2" customWidth="1"/>
    <col min="8" max="8" width="14.7109375" style="2" customWidth="1"/>
    <col min="9" max="9" width="15.421875" style="2" customWidth="1"/>
    <col min="10" max="10" width="14.57421875" style="2" customWidth="1"/>
    <col min="11" max="11" width="11.7109375" style="2" customWidth="1"/>
    <col min="12" max="13" width="14.140625" style="2" customWidth="1"/>
    <col min="14" max="14" width="9.140625" style="2" customWidth="1"/>
    <col min="15" max="15" width="23.421875" style="2" customWidth="1"/>
    <col min="16" max="16" width="9.140625" style="73" customWidth="1"/>
  </cols>
  <sheetData>
    <row r="1" ht="12.75"/>
    <row r="2" ht="12.75"/>
    <row r="3" ht="18">
      <c r="A3" s="83" t="s">
        <v>167</v>
      </c>
    </row>
    <row r="4" spans="1:14" ht="12.75">
      <c r="A4" s="19" t="s">
        <v>168</v>
      </c>
      <c r="B4" s="19" t="s">
        <v>168</v>
      </c>
      <c r="N4" s="72"/>
    </row>
    <row r="5" spans="1:14" ht="12.75">
      <c r="A5" s="19" t="s">
        <v>47</v>
      </c>
      <c r="B5" s="19" t="s">
        <v>47</v>
      </c>
      <c r="C5" s="19" t="s">
        <v>69</v>
      </c>
      <c r="L5" s="19" t="s">
        <v>110</v>
      </c>
      <c r="M5" s="19" t="s">
        <v>59</v>
      </c>
      <c r="N5" s="19" t="s">
        <v>65</v>
      </c>
    </row>
    <row r="6" spans="1:14" ht="12.75">
      <c r="A6" s="19" t="s">
        <v>56</v>
      </c>
      <c r="B6" s="19" t="s">
        <v>58</v>
      </c>
      <c r="C6" s="19" t="s">
        <v>38</v>
      </c>
      <c r="D6" s="19" t="s">
        <v>61</v>
      </c>
      <c r="E6" s="19" t="s">
        <v>63</v>
      </c>
      <c r="F6" s="19" t="s">
        <v>63</v>
      </c>
      <c r="G6" s="19" t="s">
        <v>90</v>
      </c>
      <c r="H6" s="19" t="s">
        <v>1</v>
      </c>
      <c r="I6" s="19" t="s">
        <v>2</v>
      </c>
      <c r="J6" s="19" t="s">
        <v>101</v>
      </c>
      <c r="K6" s="19" t="s">
        <v>102</v>
      </c>
      <c r="L6" s="19" t="s">
        <v>111</v>
      </c>
      <c r="M6" s="19" t="s">
        <v>112</v>
      </c>
      <c r="N6" s="19" t="s">
        <v>66</v>
      </c>
    </row>
    <row r="7" spans="1:16" ht="15.75">
      <c r="A7" s="14" t="s">
        <v>57</v>
      </c>
      <c r="B7" s="14" t="s">
        <v>57</v>
      </c>
      <c r="C7" s="14" t="s">
        <v>60</v>
      </c>
      <c r="D7" s="14" t="s">
        <v>62</v>
      </c>
      <c r="E7" s="14" t="s">
        <v>150</v>
      </c>
      <c r="F7" s="14" t="s">
        <v>156</v>
      </c>
      <c r="G7" s="7" t="s">
        <v>151</v>
      </c>
      <c r="H7" s="7" t="s">
        <v>151</v>
      </c>
      <c r="I7" s="7" t="s">
        <v>151</v>
      </c>
      <c r="J7" s="7" t="s">
        <v>151</v>
      </c>
      <c r="K7" s="7" t="s">
        <v>151</v>
      </c>
      <c r="L7" s="20" t="s">
        <v>4</v>
      </c>
      <c r="M7" s="14" t="s">
        <v>486</v>
      </c>
      <c r="N7" s="14" t="s">
        <v>20</v>
      </c>
      <c r="O7" s="14" t="s">
        <v>67</v>
      </c>
      <c r="P7" s="74" t="s">
        <v>3</v>
      </c>
    </row>
    <row r="8" spans="1:16" s="4" customFormat="1" ht="12.75">
      <c r="A8" s="5">
        <v>180</v>
      </c>
      <c r="B8" s="5">
        <v>130</v>
      </c>
      <c r="C8" s="6" t="s">
        <v>68</v>
      </c>
      <c r="D8" s="5">
        <v>106.3</v>
      </c>
      <c r="E8" s="5">
        <v>0.26</v>
      </c>
      <c r="F8" s="262">
        <f aca="true" t="shared" si="0" ref="F8:F16">E8*44/36</f>
        <v>0.3177777777777778</v>
      </c>
      <c r="G8" s="5"/>
      <c r="H8" s="5"/>
      <c r="I8" s="5"/>
      <c r="J8" s="5"/>
      <c r="K8" s="5"/>
      <c r="L8" s="271">
        <f>36+19/60</f>
        <v>36.31666666666667</v>
      </c>
      <c r="M8" s="5">
        <v>9.5</v>
      </c>
      <c r="N8" s="273" t="s">
        <v>501</v>
      </c>
      <c r="O8" s="6" t="s">
        <v>499</v>
      </c>
      <c r="P8" s="58" t="s">
        <v>500</v>
      </c>
    </row>
    <row r="9" spans="1:16" s="4" customFormat="1" ht="12.75">
      <c r="A9" s="5">
        <v>180</v>
      </c>
      <c r="B9" s="5">
        <v>130</v>
      </c>
      <c r="C9" s="6" t="s">
        <v>68</v>
      </c>
      <c r="D9" s="5">
        <v>113.6</v>
      </c>
      <c r="E9" s="5">
        <v>0.27</v>
      </c>
      <c r="F9" s="262">
        <f t="shared" si="0"/>
        <v>0.33</v>
      </c>
      <c r="G9" s="5"/>
      <c r="H9" s="5"/>
      <c r="I9" s="5"/>
      <c r="J9" s="5"/>
      <c r="K9" s="5"/>
      <c r="L9" s="271">
        <f>43+19/60</f>
        <v>43.31666666666667</v>
      </c>
      <c r="M9" s="5">
        <v>13.2</v>
      </c>
      <c r="N9" s="273" t="s">
        <v>501</v>
      </c>
      <c r="O9" s="6" t="s">
        <v>499</v>
      </c>
      <c r="P9" s="58" t="s">
        <v>500</v>
      </c>
    </row>
    <row r="10" spans="1:16" s="4" customFormat="1" ht="12.75">
      <c r="A10" s="5">
        <v>180</v>
      </c>
      <c r="B10" s="5">
        <v>130</v>
      </c>
      <c r="C10" s="6" t="s">
        <v>68</v>
      </c>
      <c r="D10" s="5">
        <v>122</v>
      </c>
      <c r="E10" s="5">
        <v>0.22</v>
      </c>
      <c r="F10" s="262">
        <f t="shared" si="0"/>
        <v>0.2688888888888889</v>
      </c>
      <c r="G10" s="5">
        <v>0.096</v>
      </c>
      <c r="H10" s="5">
        <v>0.0022</v>
      </c>
      <c r="I10" s="5"/>
      <c r="J10" s="5"/>
      <c r="K10" s="5"/>
      <c r="L10" s="271">
        <f>42+36/60</f>
        <v>42.6</v>
      </c>
      <c r="M10" s="5">
        <v>11.9</v>
      </c>
      <c r="N10" s="273" t="s">
        <v>502</v>
      </c>
      <c r="O10" s="6" t="s">
        <v>499</v>
      </c>
      <c r="P10" s="58" t="s">
        <v>503</v>
      </c>
    </row>
    <row r="11" spans="1:16" s="4" customFormat="1" ht="12.75">
      <c r="A11" s="5">
        <v>180</v>
      </c>
      <c r="B11" s="5">
        <v>130</v>
      </c>
      <c r="C11" s="6" t="s">
        <v>68</v>
      </c>
      <c r="D11" s="5">
        <v>133.2</v>
      </c>
      <c r="E11" s="5">
        <v>0.25</v>
      </c>
      <c r="F11" s="262">
        <f t="shared" si="0"/>
        <v>0.3055555555555556</v>
      </c>
      <c r="G11" s="5">
        <v>0.148</v>
      </c>
      <c r="H11" s="5">
        <v>0.0034</v>
      </c>
      <c r="I11" s="5"/>
      <c r="J11" s="5"/>
      <c r="K11" s="5"/>
      <c r="L11" s="271">
        <f>46+54/60</f>
        <v>46.9</v>
      </c>
      <c r="M11" s="5">
        <v>14.4</v>
      </c>
      <c r="N11" s="273" t="s">
        <v>502</v>
      </c>
      <c r="O11" s="6" t="s">
        <v>499</v>
      </c>
      <c r="P11" s="58" t="s">
        <v>503</v>
      </c>
    </row>
    <row r="12" spans="1:16" ht="12.75">
      <c r="A12" s="15">
        <v>190</v>
      </c>
      <c r="B12" s="15"/>
      <c r="C12" s="15" t="s">
        <v>71</v>
      </c>
      <c r="D12" s="15">
        <v>58</v>
      </c>
      <c r="E12" s="15">
        <v>0.641</v>
      </c>
      <c r="F12" s="109">
        <f t="shared" si="0"/>
        <v>0.7834444444444445</v>
      </c>
      <c r="G12" s="15"/>
      <c r="H12" s="15"/>
      <c r="I12" s="15"/>
      <c r="J12" s="15"/>
      <c r="K12" s="15"/>
      <c r="L12" s="15">
        <v>70</v>
      </c>
      <c r="M12" s="15">
        <v>13</v>
      </c>
      <c r="N12" s="15">
        <v>2006</v>
      </c>
      <c r="O12" s="15" t="s">
        <v>487</v>
      </c>
      <c r="P12" s="58" t="s">
        <v>488</v>
      </c>
    </row>
    <row r="13" spans="1:16" ht="12.75">
      <c r="A13" s="15">
        <v>190</v>
      </c>
      <c r="B13" s="15"/>
      <c r="C13" s="15" t="s">
        <v>71</v>
      </c>
      <c r="D13" s="15">
        <v>58</v>
      </c>
      <c r="E13" s="15">
        <v>0.497</v>
      </c>
      <c r="F13" s="109">
        <f t="shared" si="0"/>
        <v>0.6074444444444445</v>
      </c>
      <c r="G13" s="15"/>
      <c r="H13" s="15"/>
      <c r="I13" s="15"/>
      <c r="J13" s="15"/>
      <c r="K13" s="15"/>
      <c r="L13" s="15">
        <v>75</v>
      </c>
      <c r="M13" s="15">
        <v>13</v>
      </c>
      <c r="N13" s="15">
        <v>2006</v>
      </c>
      <c r="O13" s="15" t="s">
        <v>487</v>
      </c>
      <c r="P13" s="58" t="s">
        <v>488</v>
      </c>
    </row>
    <row r="14" spans="1:16" ht="12.75">
      <c r="A14" s="2">
        <v>225</v>
      </c>
      <c r="B14" s="2">
        <v>165</v>
      </c>
      <c r="C14" s="19" t="s">
        <v>71</v>
      </c>
      <c r="D14" s="2">
        <v>170</v>
      </c>
      <c r="E14" s="2">
        <v>0.39</v>
      </c>
      <c r="F14" s="109">
        <f t="shared" si="0"/>
        <v>0.4766666666666667</v>
      </c>
      <c r="L14" s="2">
        <v>54</v>
      </c>
      <c r="M14" s="2">
        <v>15</v>
      </c>
      <c r="N14" s="66">
        <v>0.13</v>
      </c>
      <c r="P14" s="3" t="s">
        <v>119</v>
      </c>
    </row>
    <row r="15" spans="1:16" ht="12.75">
      <c r="A15" s="2">
        <v>240</v>
      </c>
      <c r="B15" s="2">
        <v>180</v>
      </c>
      <c r="D15" s="2">
        <v>126.3</v>
      </c>
      <c r="E15" s="2">
        <v>0.62</v>
      </c>
      <c r="F15" s="109">
        <f t="shared" si="0"/>
        <v>0.7577777777777778</v>
      </c>
      <c r="G15" s="2">
        <v>0.42</v>
      </c>
      <c r="H15" s="2">
        <v>0.0156</v>
      </c>
      <c r="P15" s="46" t="s">
        <v>116</v>
      </c>
    </row>
    <row r="16" spans="1:16" ht="12.75">
      <c r="A16" s="2">
        <v>240</v>
      </c>
      <c r="B16" s="2">
        <v>180</v>
      </c>
      <c r="D16" s="2">
        <v>119</v>
      </c>
      <c r="E16" s="2">
        <v>0.6</v>
      </c>
      <c r="F16" s="109">
        <f t="shared" si="0"/>
        <v>0.7333333333333333</v>
      </c>
      <c r="G16" s="2">
        <v>0.419</v>
      </c>
      <c r="H16" s="2">
        <v>0.0163</v>
      </c>
      <c r="P16" s="46" t="s">
        <v>116</v>
      </c>
    </row>
    <row r="17" ht="12.75"/>
    <row r="18" ht="12.75">
      <c r="P18" s="46"/>
    </row>
  </sheetData>
  <sheetProtection/>
  <printOptions/>
  <pageMargins left="0.7" right="0.7" top="0.75" bottom="0.75" header="0.3" footer="0.3"/>
  <pageSetup fitToHeight="1" fitToWidth="1" horizontalDpi="600" verticalDpi="600" orientation="landscape" scale="76" r:id="rId4"/>
  <drawing r:id="rId3"/>
  <legacyDrawing r:id="rId2"/>
</worksheet>
</file>

<file path=xl/worksheets/sheet7.xml><?xml version="1.0" encoding="utf-8"?>
<worksheet xmlns="http://schemas.openxmlformats.org/spreadsheetml/2006/main" xmlns:r="http://schemas.openxmlformats.org/officeDocument/2006/relationships">
  <dimension ref="A1:AE136"/>
  <sheetViews>
    <sheetView zoomScalePageLayoutView="0" workbookViewId="0" topLeftCell="A1">
      <selection activeCell="A10" sqref="A10"/>
    </sheetView>
  </sheetViews>
  <sheetFormatPr defaultColWidth="9.140625" defaultRowHeight="12.75"/>
  <cols>
    <col min="1" max="1" width="13.00390625" style="0" customWidth="1"/>
    <col min="2" max="2" width="13.140625" style="0" customWidth="1"/>
    <col min="3" max="3" width="8.28125" style="0" bestFit="1" customWidth="1"/>
    <col min="4" max="4" width="12.140625" style="0" customWidth="1"/>
    <col min="5" max="5" width="12.28125" style="0" customWidth="1"/>
    <col min="6" max="6" width="13.00390625" style="0" customWidth="1"/>
    <col min="7" max="7" width="14.28125" style="0" customWidth="1"/>
    <col min="8" max="8" width="15.00390625" style="0" customWidth="1"/>
    <col min="9" max="9" width="14.57421875" style="0" customWidth="1"/>
    <col min="10" max="10" width="10.8515625" style="0" customWidth="1"/>
    <col min="11" max="12" width="13.7109375" style="0" customWidth="1"/>
    <col min="13" max="13" width="25.57421875" style="0" customWidth="1"/>
    <col min="14" max="14" width="27.7109375" style="0" customWidth="1"/>
    <col min="15" max="15" width="23.7109375" style="0" customWidth="1"/>
  </cols>
  <sheetData>
    <row r="1" spans="1:25" ht="12.75">
      <c r="A1" s="1" t="s">
        <v>7</v>
      </c>
      <c r="Y1" s="39" t="s">
        <v>45</v>
      </c>
    </row>
    <row r="3" spans="1:30" ht="13.5" thickBo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456</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170</v>
      </c>
      <c r="B9" s="5">
        <v>140</v>
      </c>
      <c r="C9" s="6" t="s">
        <v>71</v>
      </c>
      <c r="D9" s="5">
        <v>61.8</v>
      </c>
      <c r="E9" s="166">
        <v>0.33</v>
      </c>
      <c r="F9" s="142">
        <f>E9*44/36</f>
        <v>0.4033333333333334</v>
      </c>
      <c r="G9" s="57">
        <v>0.029</v>
      </c>
      <c r="H9" s="57">
        <v>0.0009</v>
      </c>
      <c r="L9" s="256">
        <v>1.4430555555555555</v>
      </c>
      <c r="M9" s="167">
        <v>0.15</v>
      </c>
      <c r="N9" s="168" t="s">
        <v>97</v>
      </c>
      <c r="O9" s="169" t="s">
        <v>457</v>
      </c>
      <c r="P9" s="169"/>
    </row>
    <row r="69" spans="1:28" s="10" customFormat="1" ht="12.75">
      <c r="A69" s="243"/>
      <c r="C69" s="297"/>
      <c r="D69" s="297"/>
      <c r="Y69" s="244"/>
      <c r="Z69" s="245"/>
      <c r="AA69" s="244"/>
      <c r="AB69" s="244"/>
    </row>
    <row r="70" spans="1:31" s="247" customFormat="1" ht="12.75">
      <c r="A70" s="246"/>
      <c r="B70" s="246"/>
      <c r="C70" s="246"/>
      <c r="D70" s="246"/>
      <c r="E70" s="246"/>
      <c r="F70" s="246"/>
      <c r="G70" s="246"/>
      <c r="H70" s="246"/>
      <c r="R70" s="10"/>
      <c r="S70" s="10"/>
      <c r="Y70" s="10"/>
      <c r="Z70" s="10"/>
      <c r="AA70" s="10"/>
      <c r="AB70" s="10"/>
      <c r="AC70" s="10"/>
      <c r="AD70" s="10"/>
      <c r="AE70" s="10"/>
    </row>
    <row r="71" spans="5:26" s="10" customFormat="1" ht="12.75">
      <c r="E71" s="15"/>
      <c r="Z71" s="248"/>
    </row>
    <row r="72" s="10" customFormat="1" ht="12.75">
      <c r="E72" s="126"/>
    </row>
    <row r="73" spans="5:26" s="10" customFormat="1" ht="12.75">
      <c r="E73" s="126"/>
      <c r="Z73" s="248"/>
    </row>
    <row r="74" spans="5:30" s="10" customFormat="1" ht="12.75">
      <c r="E74" s="126"/>
      <c r="Z74" s="248"/>
      <c r="AA74" s="249"/>
      <c r="AB74" s="249"/>
      <c r="AC74" s="250"/>
      <c r="AD74" s="250"/>
    </row>
    <row r="75" spans="3:30" s="10" customFormat="1" ht="12.75">
      <c r="C75" s="21"/>
      <c r="E75" s="126"/>
      <c r="AA75" s="249"/>
      <c r="AB75" s="249"/>
      <c r="AC75" s="250"/>
      <c r="AD75" s="250"/>
    </row>
    <row r="76" spans="3:30" s="10" customFormat="1" ht="12.75">
      <c r="C76" s="21"/>
      <c r="E76" s="126"/>
      <c r="AA76" s="249"/>
      <c r="AB76" s="249"/>
      <c r="AC76" s="250"/>
      <c r="AD76" s="250"/>
    </row>
    <row r="77" spans="5:30" s="10" customFormat="1" ht="12.75">
      <c r="E77" s="126"/>
      <c r="AA77" s="249"/>
      <c r="AB77" s="249"/>
      <c r="AC77" s="250"/>
      <c r="AD77" s="250"/>
    </row>
    <row r="78" s="10" customFormat="1" ht="12.75">
      <c r="E78" s="126"/>
    </row>
    <row r="79" spans="2:6" s="10" customFormat="1" ht="12.75">
      <c r="B79" s="21"/>
      <c r="E79" s="126"/>
      <c r="F79" s="21"/>
    </row>
    <row r="80" spans="2:6" s="10" customFormat="1" ht="12.75">
      <c r="B80" s="21"/>
      <c r="E80" s="126"/>
      <c r="F80" s="21"/>
    </row>
    <row r="81" spans="2:6" s="10" customFormat="1" ht="12.75">
      <c r="B81" s="21"/>
      <c r="E81" s="126"/>
      <c r="F81" s="21"/>
    </row>
    <row r="82" spans="2:6" s="10" customFormat="1" ht="12.75">
      <c r="B82" s="21"/>
      <c r="E82" s="126"/>
      <c r="F82" s="21"/>
    </row>
    <row r="83" spans="2:6" s="10" customFormat="1" ht="12.75">
      <c r="B83" s="21"/>
      <c r="E83" s="126"/>
      <c r="F83" s="21"/>
    </row>
    <row r="84" spans="2:6" s="10" customFormat="1" ht="12.75">
      <c r="B84" s="21"/>
      <c r="E84" s="126"/>
      <c r="F84" s="21"/>
    </row>
    <row r="85" spans="2:6" s="10" customFormat="1" ht="12.75">
      <c r="B85" s="21"/>
      <c r="C85" s="21"/>
      <c r="E85" s="126"/>
      <c r="F85" s="21"/>
    </row>
    <row r="86" spans="2:6" s="10" customFormat="1" ht="12.75">
      <c r="B86" s="21"/>
      <c r="E86" s="126"/>
      <c r="F86" s="21"/>
    </row>
    <row r="87" spans="2:6" s="10" customFormat="1" ht="12.75">
      <c r="B87" s="21"/>
      <c r="C87" s="21"/>
      <c r="E87" s="126"/>
      <c r="F87" s="21"/>
    </row>
    <row r="88" s="10" customFormat="1" ht="12.75"/>
    <row r="89" s="10" customFormat="1" ht="12.75"/>
    <row r="90" s="10" customFormat="1" ht="12.75"/>
    <row r="91" s="10" customFormat="1" ht="12.75">
      <c r="Z91" s="248"/>
    </row>
    <row r="92" spans="1:26" s="10" customFormat="1" ht="12.75">
      <c r="A92" s="22"/>
      <c r="B92" s="22"/>
      <c r="C92" s="15"/>
      <c r="D92" s="15"/>
      <c r="E92" s="15"/>
      <c r="F92" s="15"/>
      <c r="G92" s="15"/>
      <c r="Z92" s="248"/>
    </row>
    <row r="93" spans="1:13" s="10" customFormat="1" ht="12.75">
      <c r="A93" s="22"/>
      <c r="B93" s="22"/>
      <c r="C93" s="22"/>
      <c r="D93" s="15"/>
      <c r="E93" s="15"/>
      <c r="K93" s="22"/>
      <c r="L93" s="65"/>
      <c r="M93" s="22"/>
    </row>
    <row r="94" spans="1:13" s="10" customFormat="1" ht="12.75">
      <c r="A94" s="22"/>
      <c r="B94" s="22"/>
      <c r="C94" s="22"/>
      <c r="D94" s="22"/>
      <c r="E94" s="22"/>
      <c r="F94" s="22"/>
      <c r="G94" s="22"/>
      <c r="H94" s="22"/>
      <c r="I94" s="22"/>
      <c r="J94" s="22"/>
      <c r="K94" s="22"/>
      <c r="L94" s="22"/>
      <c r="M94" s="22"/>
    </row>
    <row r="95" spans="1:15" s="10" customFormat="1" ht="12.75">
      <c r="A95" s="22"/>
      <c r="B95" s="22"/>
      <c r="C95" s="22"/>
      <c r="D95" s="22"/>
      <c r="E95" s="22"/>
      <c r="F95" s="17"/>
      <c r="G95" s="17"/>
      <c r="H95" s="17"/>
      <c r="I95" s="17"/>
      <c r="J95" s="17"/>
      <c r="K95" s="251"/>
      <c r="L95" s="22"/>
      <c r="M95" s="22"/>
      <c r="N95" s="247"/>
      <c r="O95" s="17"/>
    </row>
    <row r="96" spans="1:15" s="10" customFormat="1" ht="12.75">
      <c r="A96" s="15"/>
      <c r="B96" s="15"/>
      <c r="C96" s="22"/>
      <c r="D96" s="15"/>
      <c r="E96" s="15"/>
      <c r="K96" s="15"/>
      <c r="L96" s="85"/>
      <c r="M96" s="252"/>
      <c r="N96" s="247"/>
      <c r="O96" s="247"/>
    </row>
    <row r="97" spans="1:15" s="10" customFormat="1" ht="12.75">
      <c r="A97" s="15"/>
      <c r="B97" s="15"/>
      <c r="C97" s="22"/>
      <c r="D97" s="15"/>
      <c r="E97" s="15"/>
      <c r="K97" s="15"/>
      <c r="L97" s="85"/>
      <c r="M97" s="252"/>
      <c r="N97" s="247"/>
      <c r="O97" s="247"/>
    </row>
    <row r="98" spans="1:15" s="10" customFormat="1" ht="12.75">
      <c r="A98" s="15"/>
      <c r="B98" s="15"/>
      <c r="C98" s="22"/>
      <c r="D98" s="15"/>
      <c r="E98" s="15"/>
      <c r="K98" s="15"/>
      <c r="L98" s="85"/>
      <c r="M98" s="252"/>
      <c r="N98" s="247"/>
      <c r="O98" s="247"/>
    </row>
    <row r="99" spans="1:15" s="10" customFormat="1" ht="12.75">
      <c r="A99" s="15"/>
      <c r="B99" s="15"/>
      <c r="C99" s="22"/>
      <c r="D99" s="15"/>
      <c r="E99" s="15"/>
      <c r="K99" s="15"/>
      <c r="L99" s="85"/>
      <c r="M99" s="252"/>
      <c r="N99" s="247"/>
      <c r="O99" s="247"/>
    </row>
    <row r="100" spans="1:15" s="10" customFormat="1" ht="12.75">
      <c r="A100" s="15"/>
      <c r="B100" s="15"/>
      <c r="C100" s="22"/>
      <c r="D100" s="15"/>
      <c r="E100" s="15"/>
      <c r="K100" s="15"/>
      <c r="L100" s="85"/>
      <c r="M100" s="252"/>
      <c r="N100" s="247"/>
      <c r="O100" s="247"/>
    </row>
    <row r="101" spans="1:15" s="10" customFormat="1" ht="12.75">
      <c r="A101" s="15"/>
      <c r="B101" s="15"/>
      <c r="C101" s="22"/>
      <c r="D101" s="15"/>
      <c r="E101" s="15"/>
      <c r="K101" s="15"/>
      <c r="L101" s="85"/>
      <c r="M101" s="252"/>
      <c r="N101" s="247"/>
      <c r="O101" s="247"/>
    </row>
    <row r="102" spans="1:15" s="10" customFormat="1" ht="12.75">
      <c r="A102" s="15"/>
      <c r="B102" s="15"/>
      <c r="C102" s="22"/>
      <c r="D102" s="15"/>
      <c r="E102" s="15"/>
      <c r="K102" s="15"/>
      <c r="L102" s="85"/>
      <c r="M102" s="252"/>
      <c r="N102" s="247"/>
      <c r="O102" s="247"/>
    </row>
    <row r="103" spans="1:15" s="10" customFormat="1" ht="12.75">
      <c r="A103" s="15"/>
      <c r="B103" s="15"/>
      <c r="C103" s="22"/>
      <c r="D103" s="15"/>
      <c r="E103" s="15"/>
      <c r="K103" s="15"/>
      <c r="L103" s="85"/>
      <c r="M103" s="252"/>
      <c r="N103" s="247"/>
      <c r="O103" s="247"/>
    </row>
    <row r="104" spans="1:15" s="10" customFormat="1" ht="12.75">
      <c r="A104" s="15"/>
      <c r="B104" s="15"/>
      <c r="C104" s="22"/>
      <c r="D104" s="15"/>
      <c r="E104" s="15"/>
      <c r="K104" s="15"/>
      <c r="L104" s="85"/>
      <c r="M104" s="252"/>
      <c r="N104" s="247"/>
      <c r="O104" s="247"/>
    </row>
    <row r="105" spans="1:15" s="10" customFormat="1" ht="12.75">
      <c r="A105" s="15"/>
      <c r="B105" s="247"/>
      <c r="C105" s="22"/>
      <c r="D105" s="15"/>
      <c r="E105" s="15"/>
      <c r="F105" s="15"/>
      <c r="G105" s="15"/>
      <c r="H105" s="15"/>
      <c r="I105" s="15"/>
      <c r="J105" s="15"/>
      <c r="K105" s="15"/>
      <c r="L105" s="85"/>
      <c r="M105" s="252"/>
      <c r="N105" s="247"/>
      <c r="O105" s="247"/>
    </row>
    <row r="106" spans="1:15" s="10" customFormat="1" ht="12.75">
      <c r="A106" s="15"/>
      <c r="B106" s="15"/>
      <c r="C106" s="22"/>
      <c r="D106" s="15"/>
      <c r="E106" s="15"/>
      <c r="F106" s="15"/>
      <c r="G106" s="15"/>
      <c r="H106" s="15"/>
      <c r="I106" s="15"/>
      <c r="J106" s="15"/>
      <c r="K106" s="15"/>
      <c r="L106" s="85"/>
      <c r="M106" s="252"/>
      <c r="N106" s="247"/>
      <c r="O106" s="247"/>
    </row>
    <row r="107" spans="1:15" s="10" customFormat="1" ht="12.75">
      <c r="A107" s="15"/>
      <c r="B107" s="15"/>
      <c r="C107" s="22"/>
      <c r="D107" s="15"/>
      <c r="E107" s="15"/>
      <c r="F107" s="15"/>
      <c r="G107" s="15"/>
      <c r="H107" s="15"/>
      <c r="I107" s="15"/>
      <c r="J107" s="15"/>
      <c r="K107" s="15"/>
      <c r="L107" s="85"/>
      <c r="M107" s="252"/>
      <c r="N107" s="247"/>
      <c r="O107" s="247"/>
    </row>
    <row r="108" spans="1:15" s="10" customFormat="1" ht="12.75">
      <c r="A108" s="15"/>
      <c r="B108" s="15"/>
      <c r="C108" s="22"/>
      <c r="D108" s="15"/>
      <c r="E108" s="15"/>
      <c r="F108" s="15"/>
      <c r="G108" s="15"/>
      <c r="H108" s="15"/>
      <c r="I108" s="15"/>
      <c r="J108" s="15"/>
      <c r="K108" s="15"/>
      <c r="L108" s="85"/>
      <c r="M108" s="252"/>
      <c r="N108" s="247"/>
      <c r="O108" s="247"/>
    </row>
    <row r="109" spans="1:15" s="10" customFormat="1" ht="12.75">
      <c r="A109" s="15"/>
      <c r="B109" s="15"/>
      <c r="C109" s="22"/>
      <c r="D109" s="15"/>
      <c r="E109" s="15"/>
      <c r="F109" s="15"/>
      <c r="G109" s="15"/>
      <c r="H109" s="15"/>
      <c r="I109" s="15"/>
      <c r="J109" s="15"/>
      <c r="K109" s="15"/>
      <c r="L109" s="85"/>
      <c r="M109" s="252"/>
      <c r="N109" s="247"/>
      <c r="O109" s="247"/>
    </row>
    <row r="110" spans="1:15" s="10" customFormat="1" ht="12.75">
      <c r="A110" s="15"/>
      <c r="B110" s="15"/>
      <c r="C110" s="22"/>
      <c r="D110" s="15"/>
      <c r="E110" s="15"/>
      <c r="F110" s="15"/>
      <c r="G110" s="15"/>
      <c r="H110" s="15"/>
      <c r="I110" s="15"/>
      <c r="J110" s="15"/>
      <c r="K110" s="15"/>
      <c r="L110" s="85"/>
      <c r="M110" s="252"/>
      <c r="N110" s="247"/>
      <c r="O110" s="247"/>
    </row>
    <row r="111" spans="1:15" s="10" customFormat="1" ht="12.75">
      <c r="A111" s="15"/>
      <c r="B111" s="15"/>
      <c r="C111" s="22"/>
      <c r="D111" s="15"/>
      <c r="E111" s="15"/>
      <c r="F111" s="15"/>
      <c r="G111" s="15"/>
      <c r="H111" s="15"/>
      <c r="I111" s="15"/>
      <c r="J111" s="15"/>
      <c r="K111" s="15"/>
      <c r="L111" s="85"/>
      <c r="M111" s="252"/>
      <c r="N111" s="247"/>
      <c r="O111" s="247"/>
    </row>
    <row r="112" spans="1:15" s="10" customFormat="1" ht="12.75">
      <c r="A112" s="15"/>
      <c r="B112" s="15"/>
      <c r="C112" s="22"/>
      <c r="D112" s="15"/>
      <c r="E112" s="15"/>
      <c r="F112" s="15"/>
      <c r="G112" s="15"/>
      <c r="H112" s="15"/>
      <c r="I112" s="15"/>
      <c r="J112" s="15"/>
      <c r="K112" s="15"/>
      <c r="L112" s="85"/>
      <c r="M112" s="252"/>
      <c r="N112" s="247"/>
      <c r="O112" s="247"/>
    </row>
    <row r="113" spans="1:15" s="10" customFormat="1" ht="12.75">
      <c r="A113" s="15"/>
      <c r="B113" s="15"/>
      <c r="C113" s="22"/>
      <c r="D113" s="15"/>
      <c r="E113" s="15"/>
      <c r="F113" s="15"/>
      <c r="G113" s="15"/>
      <c r="H113" s="15"/>
      <c r="I113" s="15"/>
      <c r="J113" s="15"/>
      <c r="K113" s="15"/>
      <c r="L113" s="85"/>
      <c r="M113" s="252"/>
      <c r="N113" s="247"/>
      <c r="O113" s="247"/>
    </row>
    <row r="114" spans="1:15" s="10" customFormat="1" ht="12.75">
      <c r="A114" s="15"/>
      <c r="B114" s="15"/>
      <c r="C114" s="22"/>
      <c r="D114" s="15"/>
      <c r="E114" s="15"/>
      <c r="F114" s="15"/>
      <c r="G114" s="15"/>
      <c r="H114" s="15"/>
      <c r="I114" s="15"/>
      <c r="J114" s="15"/>
      <c r="K114" s="15"/>
      <c r="L114" s="85"/>
      <c r="M114" s="252"/>
      <c r="N114" s="247"/>
      <c r="O114" s="247"/>
    </row>
    <row r="115" spans="1:15" s="10" customFormat="1" ht="12.75">
      <c r="A115" s="15"/>
      <c r="B115" s="22"/>
      <c r="C115" s="22"/>
      <c r="D115" s="57"/>
      <c r="E115" s="57"/>
      <c r="F115" s="57"/>
      <c r="G115" s="57"/>
      <c r="H115" s="57"/>
      <c r="I115" s="57"/>
      <c r="J115" s="57"/>
      <c r="K115" s="15"/>
      <c r="L115" s="85"/>
      <c r="M115" s="253"/>
      <c r="O115" s="58"/>
    </row>
    <row r="116" spans="1:15" s="10" customFormat="1" ht="12.75">
      <c r="A116" s="15"/>
      <c r="E116" s="57"/>
      <c r="F116" s="15"/>
      <c r="G116" s="15"/>
      <c r="H116" s="15"/>
      <c r="I116" s="15"/>
      <c r="J116" s="15"/>
      <c r="K116" s="15"/>
      <c r="L116" s="85"/>
      <c r="M116" s="251"/>
      <c r="O116" s="58"/>
    </row>
    <row r="117" spans="1:15" s="10" customFormat="1" ht="12.75">
      <c r="A117" s="15"/>
      <c r="B117" s="22"/>
      <c r="C117" s="22"/>
      <c r="D117" s="57"/>
      <c r="E117" s="57"/>
      <c r="F117" s="15"/>
      <c r="G117" s="15"/>
      <c r="H117" s="15"/>
      <c r="I117" s="15"/>
      <c r="J117" s="15"/>
      <c r="K117" s="15"/>
      <c r="L117" s="85"/>
      <c r="M117" s="22"/>
      <c r="O117" s="58"/>
    </row>
    <row r="118" spans="1:15" s="10" customFormat="1" ht="12.75">
      <c r="A118" s="15"/>
      <c r="B118" s="22"/>
      <c r="E118" s="57"/>
      <c r="L118" s="22"/>
      <c r="M118" s="22"/>
      <c r="O118" s="58"/>
    </row>
    <row r="119" spans="1:15" s="10" customFormat="1" ht="12.75">
      <c r="A119" s="15"/>
      <c r="B119" s="22"/>
      <c r="E119" s="57"/>
      <c r="L119" s="22"/>
      <c r="M119" s="253"/>
      <c r="O119" s="58"/>
    </row>
    <row r="120" spans="1:15" s="10" customFormat="1" ht="12.75">
      <c r="A120" s="15"/>
      <c r="C120" s="247"/>
      <c r="E120" s="57"/>
      <c r="F120" s="15"/>
      <c r="G120" s="15"/>
      <c r="H120" s="15"/>
      <c r="I120" s="15"/>
      <c r="J120" s="15"/>
      <c r="L120" s="254"/>
      <c r="O120" s="58"/>
    </row>
    <row r="121" spans="1:15" s="10" customFormat="1" ht="12.75">
      <c r="A121" s="15"/>
      <c r="C121" s="247"/>
      <c r="E121" s="57"/>
      <c r="F121" s="15"/>
      <c r="G121" s="15"/>
      <c r="H121" s="15"/>
      <c r="I121" s="15"/>
      <c r="J121" s="15"/>
      <c r="L121" s="254"/>
      <c r="O121" s="58"/>
    </row>
    <row r="122" spans="1:15" s="10" customFormat="1" ht="12.75">
      <c r="A122" s="15"/>
      <c r="C122" s="247"/>
      <c r="E122" s="57"/>
      <c r="F122" s="15"/>
      <c r="G122" s="15"/>
      <c r="H122" s="15"/>
      <c r="I122" s="15"/>
      <c r="J122" s="15"/>
      <c r="L122" s="254"/>
      <c r="O122" s="58"/>
    </row>
    <row r="123" spans="1:15" s="10" customFormat="1" ht="12.75">
      <c r="A123" s="15"/>
      <c r="C123" s="247"/>
      <c r="E123" s="57"/>
      <c r="F123" s="15"/>
      <c r="G123" s="15"/>
      <c r="H123" s="15"/>
      <c r="I123" s="15"/>
      <c r="J123" s="15"/>
      <c r="L123" s="254"/>
      <c r="O123" s="58"/>
    </row>
    <row r="124" spans="1:15" s="10" customFormat="1" ht="12.75">
      <c r="A124" s="15"/>
      <c r="C124" s="247"/>
      <c r="E124" s="57"/>
      <c r="F124" s="15"/>
      <c r="G124" s="15"/>
      <c r="H124" s="15"/>
      <c r="I124" s="15"/>
      <c r="J124" s="15"/>
      <c r="L124" s="254"/>
      <c r="O124" s="58"/>
    </row>
    <row r="125" spans="1:15" s="10" customFormat="1" ht="12.75">
      <c r="A125" s="15"/>
      <c r="C125" s="247"/>
      <c r="E125" s="57"/>
      <c r="F125" s="15"/>
      <c r="G125" s="15"/>
      <c r="H125" s="15"/>
      <c r="I125" s="15"/>
      <c r="J125" s="15"/>
      <c r="L125" s="254"/>
      <c r="O125" s="58"/>
    </row>
    <row r="126" s="10" customFormat="1" ht="12.75"/>
    <row r="127" s="10" customFormat="1" ht="12.75"/>
    <row r="128" s="10" customFormat="1" ht="12.75"/>
    <row r="129" s="10" customFormat="1" ht="12.75"/>
    <row r="130" s="10" customFormat="1" ht="12.75"/>
    <row r="131" s="10" customFormat="1" ht="12.75"/>
    <row r="132" s="10" customFormat="1" ht="12.75">
      <c r="A132" s="255"/>
    </row>
    <row r="133" s="10" customFormat="1" ht="12.75">
      <c r="A133" s="255"/>
    </row>
    <row r="134" s="10" customFormat="1" ht="12.75">
      <c r="A134" s="247"/>
    </row>
    <row r="135" s="10" customFormat="1" ht="12.75">
      <c r="A135" s="247"/>
    </row>
    <row r="136" s="10" customFormat="1" ht="12.75">
      <c r="A136" s="247"/>
    </row>
    <row r="137" s="10" customFormat="1" ht="12.75"/>
    <row r="138" s="10" customFormat="1" ht="12.75"/>
  </sheetData>
  <sheetProtection/>
  <mergeCells count="1">
    <mergeCell ref="C69:D69"/>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D24"/>
  <sheetViews>
    <sheetView tabSelected="1" zoomScalePageLayoutView="0" workbookViewId="0" topLeftCell="A1">
      <selection activeCell="A22" sqref="A22"/>
    </sheetView>
  </sheetViews>
  <sheetFormatPr defaultColWidth="9.140625" defaultRowHeight="12.75"/>
  <cols>
    <col min="1" max="1" width="11.28125" style="0" customWidth="1"/>
    <col min="2" max="2" width="12.7109375" style="0" customWidth="1"/>
    <col min="3" max="3" width="11.57421875" style="0" customWidth="1"/>
    <col min="4" max="4" width="11.57421875" style="0" bestFit="1" customWidth="1"/>
    <col min="5" max="5" width="10.421875" style="0" bestFit="1" customWidth="1"/>
    <col min="6" max="6" width="13.28125" style="0" bestFit="1" customWidth="1"/>
    <col min="7" max="7" width="8.57421875" style="0" bestFit="1" customWidth="1"/>
    <col min="8" max="8" width="12.7109375" style="0" bestFit="1" customWidth="1"/>
    <col min="9" max="9" width="12.28125" style="0" bestFit="1" customWidth="1"/>
    <col min="10" max="10" width="14.8515625" style="0" bestFit="1" customWidth="1"/>
    <col min="11" max="11" width="7.7109375" style="0" bestFit="1" customWidth="1"/>
    <col min="12" max="12" width="10.140625" style="0" bestFit="1" customWidth="1"/>
    <col min="13" max="13" width="8.140625" style="0" bestFit="1" customWidth="1"/>
    <col min="14" max="14" width="12.8515625" style="0" bestFit="1" customWidth="1"/>
    <col min="15" max="15" width="20.8515625" style="0" bestFit="1" customWidth="1"/>
  </cols>
  <sheetData>
    <row r="1" spans="1:25" ht="12.75">
      <c r="A1" s="1" t="s">
        <v>7</v>
      </c>
      <c r="Y1" s="39" t="s">
        <v>45</v>
      </c>
    </row>
    <row r="3" spans="1:30" ht="13.5" thickBot="1">
      <c r="A3" s="84" t="s">
        <v>459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458</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170</v>
      </c>
      <c r="B9" s="5">
        <v>140</v>
      </c>
      <c r="C9" s="6" t="s">
        <v>71</v>
      </c>
      <c r="D9" s="5">
        <v>82.6</v>
      </c>
      <c r="E9" s="130">
        <v>1.59</v>
      </c>
      <c r="F9" s="142">
        <f>E9*44/36</f>
        <v>1.9433333333333336</v>
      </c>
      <c r="G9" s="57">
        <v>0.04</v>
      </c>
      <c r="H9" s="57">
        <v>0.0048</v>
      </c>
      <c r="L9" s="257">
        <v>42</v>
      </c>
      <c r="M9" s="167">
        <v>0.15</v>
      </c>
      <c r="N9" s="168" t="s">
        <v>460</v>
      </c>
      <c r="O9" s="169" t="s">
        <v>478</v>
      </c>
      <c r="P9" s="169" t="s">
        <v>479</v>
      </c>
    </row>
    <row r="10" spans="1:16" s="4" customFormat="1" ht="12.75">
      <c r="A10" s="5">
        <v>170</v>
      </c>
      <c r="B10" s="5">
        <v>140</v>
      </c>
      <c r="C10" s="6" t="s">
        <v>71</v>
      </c>
      <c r="D10" s="5">
        <v>82.6</v>
      </c>
      <c r="E10" s="57"/>
      <c r="F10" s="142"/>
      <c r="G10" s="57">
        <v>0.035</v>
      </c>
      <c r="H10" s="57">
        <v>0.0027</v>
      </c>
      <c r="I10" s="57">
        <v>0.042</v>
      </c>
      <c r="J10" s="57">
        <v>0.0019</v>
      </c>
      <c r="K10" s="57">
        <v>0.0017</v>
      </c>
      <c r="L10" s="257">
        <v>42</v>
      </c>
      <c r="M10" s="167">
        <v>0.15</v>
      </c>
      <c r="N10" s="168" t="s">
        <v>460</v>
      </c>
      <c r="O10" s="169" t="s">
        <v>478</v>
      </c>
      <c r="P10" s="169" t="s">
        <v>480</v>
      </c>
    </row>
    <row r="11" spans="1:16" s="4" customFormat="1" ht="12.75">
      <c r="A11" s="5">
        <v>170</v>
      </c>
      <c r="B11" s="5"/>
      <c r="C11" s="6" t="s">
        <v>492</v>
      </c>
      <c r="D11" s="5">
        <v>53</v>
      </c>
      <c r="E11" s="57">
        <v>1.771</v>
      </c>
      <c r="F11" s="142">
        <f aca="true" t="shared" si="0" ref="F11:F19">E11*44/36</f>
        <v>2.1645555555555553</v>
      </c>
      <c r="G11" s="57"/>
      <c r="H11" s="57"/>
      <c r="I11" s="57"/>
      <c r="J11" s="57"/>
      <c r="K11" s="57"/>
      <c r="L11" s="257"/>
      <c r="M11" s="167">
        <v>0.13</v>
      </c>
      <c r="N11" s="168" t="s">
        <v>493</v>
      </c>
      <c r="O11" s="58" t="s">
        <v>488</v>
      </c>
      <c r="P11" s="169"/>
    </row>
    <row r="12" spans="1:16" s="4" customFormat="1" ht="12.75">
      <c r="A12" s="5">
        <v>170</v>
      </c>
      <c r="B12" s="5"/>
      <c r="C12" s="6" t="s">
        <v>492</v>
      </c>
      <c r="D12" s="5">
        <v>47</v>
      </c>
      <c r="E12" s="57">
        <v>1.948</v>
      </c>
      <c r="F12" s="142">
        <f t="shared" si="0"/>
        <v>2.380888888888889</v>
      </c>
      <c r="G12" s="57"/>
      <c r="H12" s="57"/>
      <c r="I12" s="57"/>
      <c r="J12" s="57"/>
      <c r="K12" s="57"/>
      <c r="L12" s="257"/>
      <c r="M12" s="167">
        <v>0.13</v>
      </c>
      <c r="N12" s="168" t="s">
        <v>493</v>
      </c>
      <c r="O12" s="58" t="s">
        <v>488</v>
      </c>
      <c r="P12" s="169"/>
    </row>
    <row r="13" spans="1:16" s="269" customFormat="1" ht="12.75">
      <c r="A13" s="267">
        <v>175</v>
      </c>
      <c r="B13" s="267">
        <v>146</v>
      </c>
      <c r="C13" s="268" t="s">
        <v>505</v>
      </c>
      <c r="D13" s="277">
        <v>114.8</v>
      </c>
      <c r="E13" s="274">
        <v>1.4</v>
      </c>
      <c r="F13" s="142">
        <f t="shared" si="0"/>
        <v>1.711111111111111</v>
      </c>
      <c r="G13" s="274"/>
      <c r="H13" s="274"/>
      <c r="L13" s="276">
        <f>58+28/60</f>
        <v>58.46666666666667</v>
      </c>
      <c r="M13" s="272">
        <v>8.9</v>
      </c>
      <c r="N13" s="278" t="s">
        <v>506</v>
      </c>
      <c r="O13" s="270" t="s">
        <v>507</v>
      </c>
      <c r="P13" s="58" t="s">
        <v>500</v>
      </c>
    </row>
    <row r="14" spans="1:16" s="269" customFormat="1" ht="12.75">
      <c r="A14" s="267">
        <v>175</v>
      </c>
      <c r="B14" s="267">
        <v>146</v>
      </c>
      <c r="C14" s="268" t="s">
        <v>505</v>
      </c>
      <c r="D14" s="277">
        <v>93</v>
      </c>
      <c r="E14" s="274">
        <v>1.3</v>
      </c>
      <c r="F14" s="142">
        <f t="shared" si="0"/>
        <v>1.588888888888889</v>
      </c>
      <c r="G14" s="274"/>
      <c r="H14" s="274"/>
      <c r="L14" s="276">
        <f>57+7/60</f>
        <v>57.11666666666667</v>
      </c>
      <c r="M14" s="272">
        <v>10.9</v>
      </c>
      <c r="N14" s="278" t="s">
        <v>506</v>
      </c>
      <c r="O14" s="270" t="s">
        <v>507</v>
      </c>
      <c r="P14" s="58" t="s">
        <v>500</v>
      </c>
    </row>
    <row r="15" spans="1:16" s="269" customFormat="1" ht="12.75">
      <c r="A15" s="267">
        <v>175</v>
      </c>
      <c r="B15" s="267">
        <v>146</v>
      </c>
      <c r="C15" s="268" t="s">
        <v>505</v>
      </c>
      <c r="D15" s="277">
        <v>107.1</v>
      </c>
      <c r="E15" s="274">
        <v>1.29</v>
      </c>
      <c r="F15" s="142">
        <f t="shared" si="0"/>
        <v>1.5766666666666669</v>
      </c>
      <c r="G15" s="274">
        <v>0.05</v>
      </c>
      <c r="H15" s="274">
        <v>0.022</v>
      </c>
      <c r="L15" s="276">
        <f>55+2/60</f>
        <v>55.03333333333333</v>
      </c>
      <c r="M15" s="272">
        <v>9.2</v>
      </c>
      <c r="N15" s="275" t="s">
        <v>501</v>
      </c>
      <c r="O15" s="270" t="s">
        <v>507</v>
      </c>
      <c r="P15" s="58" t="s">
        <v>500</v>
      </c>
    </row>
    <row r="16" spans="1:16" s="269" customFormat="1" ht="12.75">
      <c r="A16" s="267">
        <v>175</v>
      </c>
      <c r="B16" s="267">
        <v>146</v>
      </c>
      <c r="C16" s="268" t="s">
        <v>505</v>
      </c>
      <c r="D16" s="277">
        <v>124.1</v>
      </c>
      <c r="E16" s="274">
        <v>1.54</v>
      </c>
      <c r="F16" s="142">
        <f t="shared" si="0"/>
        <v>1.8822222222222225</v>
      </c>
      <c r="G16" s="274">
        <v>0.08</v>
      </c>
      <c r="H16" s="274">
        <v>0.0036</v>
      </c>
      <c r="L16" s="276">
        <f>57+4/60</f>
        <v>57.06666666666667</v>
      </c>
      <c r="M16" s="272">
        <v>11</v>
      </c>
      <c r="N16" s="275" t="s">
        <v>502</v>
      </c>
      <c r="O16" s="270" t="s">
        <v>507</v>
      </c>
      <c r="P16" s="58" t="s">
        <v>500</v>
      </c>
    </row>
    <row r="17" spans="1:16" s="4" customFormat="1" ht="12.75">
      <c r="A17" s="5">
        <v>180</v>
      </c>
      <c r="B17" s="5">
        <v>140</v>
      </c>
      <c r="C17" s="6" t="s">
        <v>71</v>
      </c>
      <c r="D17" s="286">
        <v>103.9</v>
      </c>
      <c r="E17" s="57">
        <v>1.48</v>
      </c>
      <c r="F17" s="142">
        <f>E17*44/36</f>
        <v>1.808888888888889</v>
      </c>
      <c r="L17" s="5">
        <v>40.9</v>
      </c>
      <c r="M17" s="271">
        <v>14.1</v>
      </c>
      <c r="N17" s="168" t="s">
        <v>521</v>
      </c>
      <c r="O17" s="6" t="s">
        <v>472</v>
      </c>
      <c r="P17" s="4" t="s">
        <v>522</v>
      </c>
    </row>
    <row r="18" spans="1:16" s="4" customFormat="1" ht="12.75">
      <c r="A18" s="5">
        <v>180</v>
      </c>
      <c r="B18" s="5">
        <v>140</v>
      </c>
      <c r="C18" s="6" t="s">
        <v>71</v>
      </c>
      <c r="D18" s="286">
        <v>122</v>
      </c>
      <c r="E18" s="57">
        <v>1.72</v>
      </c>
      <c r="F18" s="142">
        <f>E18*44/36</f>
        <v>2.102222222222222</v>
      </c>
      <c r="G18" s="57">
        <v>0.058</v>
      </c>
      <c r="H18" s="57">
        <v>0.005</v>
      </c>
      <c r="I18" s="266">
        <v>0.1</v>
      </c>
      <c r="J18" s="5">
        <v>0.0035</v>
      </c>
      <c r="K18" s="5">
        <v>0.0055</v>
      </c>
      <c r="L18" s="5">
        <v>44.5</v>
      </c>
      <c r="M18" s="271">
        <v>14.7</v>
      </c>
      <c r="N18" s="168" t="s">
        <v>521</v>
      </c>
      <c r="O18" s="6" t="s">
        <v>472</v>
      </c>
      <c r="P18" s="169" t="s">
        <v>522</v>
      </c>
    </row>
    <row r="19" spans="1:16" ht="12.75">
      <c r="A19" s="2">
        <v>235</v>
      </c>
      <c r="B19" s="5"/>
      <c r="C19" s="2"/>
      <c r="D19" s="2">
        <v>89.1</v>
      </c>
      <c r="E19" s="261">
        <v>3</v>
      </c>
      <c r="F19" s="142">
        <f t="shared" si="0"/>
        <v>3.6666666666666665</v>
      </c>
      <c r="G19" s="2">
        <v>0.144</v>
      </c>
      <c r="H19" s="2">
        <v>0.0029</v>
      </c>
      <c r="I19" s="2">
        <v>0.028</v>
      </c>
      <c r="J19" s="2">
        <v>0.0032</v>
      </c>
      <c r="K19" s="2">
        <v>0.0045</v>
      </c>
      <c r="L19" s="2"/>
      <c r="N19" s="168" t="s">
        <v>474</v>
      </c>
      <c r="O19" s="6" t="s">
        <v>472</v>
      </c>
      <c r="P19" t="s">
        <v>125</v>
      </c>
    </row>
    <row r="22" spans="1:15" ht="12.75">
      <c r="A22" s="5"/>
      <c r="N22" s="168"/>
      <c r="O22" s="6"/>
    </row>
    <row r="23" spans="1:15" ht="12.75">
      <c r="A23" s="5"/>
      <c r="N23" s="168"/>
      <c r="O23" s="6"/>
    </row>
    <row r="24" spans="1:15" ht="12.75">
      <c r="A24" s="5"/>
      <c r="N24" s="168"/>
      <c r="O24" s="6"/>
    </row>
  </sheetData>
  <sheetProtection/>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C26" sqref="C26"/>
    </sheetView>
  </sheetViews>
  <sheetFormatPr defaultColWidth="9.140625" defaultRowHeight="12.75"/>
  <cols>
    <col min="1" max="1" width="18.00390625" style="76" customWidth="1"/>
    <col min="2" max="2" width="15.8515625" style="76" customWidth="1"/>
    <col min="3" max="3" width="12.421875" style="76" customWidth="1"/>
    <col min="4" max="4" width="14.00390625" style="76" customWidth="1"/>
    <col min="5" max="5" width="14.8515625" style="76" customWidth="1"/>
    <col min="6" max="6" width="15.57421875" style="76" customWidth="1"/>
    <col min="7" max="7" width="16.28125" style="76" customWidth="1"/>
    <col min="8" max="8" width="15.8515625" style="76" customWidth="1"/>
    <col min="9" max="9" width="11.28125" style="76" customWidth="1"/>
    <col min="10" max="16384" width="9.140625" style="76" customWidth="1"/>
  </cols>
  <sheetData>
    <row r="1" ht="15">
      <c r="A1" s="78" t="s">
        <v>131</v>
      </c>
    </row>
    <row r="2" ht="15">
      <c r="A2" s="78" t="s">
        <v>132</v>
      </c>
    </row>
    <row r="5" spans="1:3" ht="15">
      <c r="A5" s="78" t="s">
        <v>145</v>
      </c>
      <c r="C5" s="82" t="s">
        <v>0</v>
      </c>
    </row>
    <row r="6" spans="2:9" ht="18">
      <c r="B6" s="79" t="s">
        <v>134</v>
      </c>
      <c r="C6" s="79" t="s">
        <v>157</v>
      </c>
      <c r="D6" s="79" t="s">
        <v>136</v>
      </c>
      <c r="E6" s="79" t="s">
        <v>90</v>
      </c>
      <c r="F6" s="79" t="s">
        <v>1</v>
      </c>
      <c r="G6" s="79" t="s">
        <v>2</v>
      </c>
      <c r="H6" s="79" t="s">
        <v>101</v>
      </c>
      <c r="I6" s="79" t="s">
        <v>102</v>
      </c>
    </row>
    <row r="7" spans="1:9" ht="15">
      <c r="A7" s="77" t="s">
        <v>133</v>
      </c>
      <c r="B7" s="80" t="s">
        <v>135</v>
      </c>
      <c r="C7" s="80" t="s">
        <v>137</v>
      </c>
      <c r="D7" s="80" t="s">
        <v>137</v>
      </c>
      <c r="E7" s="80" t="s">
        <v>137</v>
      </c>
      <c r="F7" s="80" t="s">
        <v>137</v>
      </c>
      <c r="G7" s="80" t="s">
        <v>137</v>
      </c>
      <c r="H7" s="80" t="s">
        <v>137</v>
      </c>
      <c r="I7" s="80" t="s">
        <v>137</v>
      </c>
    </row>
    <row r="8" spans="1:9" ht="15">
      <c r="A8" s="76" t="s">
        <v>14</v>
      </c>
      <c r="B8" s="79" t="s">
        <v>149</v>
      </c>
      <c r="D8" s="79">
        <v>189</v>
      </c>
      <c r="E8" s="79">
        <v>72</v>
      </c>
      <c r="F8" s="79">
        <v>1.21</v>
      </c>
      <c r="G8" s="79">
        <v>113</v>
      </c>
      <c r="H8" s="79">
        <v>1</v>
      </c>
      <c r="I8" s="79">
        <v>1.6</v>
      </c>
    </row>
    <row r="9" spans="1:9" ht="15">
      <c r="A9" s="76" t="s">
        <v>14</v>
      </c>
      <c r="B9" s="79" t="s">
        <v>143</v>
      </c>
      <c r="D9" s="79">
        <v>305</v>
      </c>
      <c r="E9" s="79">
        <v>186</v>
      </c>
      <c r="F9" s="79">
        <v>3.8</v>
      </c>
      <c r="G9" s="79">
        <v>113</v>
      </c>
      <c r="H9" s="79">
        <v>1</v>
      </c>
      <c r="I9" s="79">
        <v>1.6</v>
      </c>
    </row>
    <row r="10" spans="1:9" ht="15">
      <c r="A10" s="76" t="s">
        <v>138</v>
      </c>
      <c r="B10" s="79" t="s">
        <v>149</v>
      </c>
      <c r="D10" s="79">
        <v>97</v>
      </c>
      <c r="E10" s="79">
        <v>38</v>
      </c>
      <c r="F10" s="79">
        <v>1</v>
      </c>
      <c r="G10" s="79">
        <v>57</v>
      </c>
      <c r="H10" s="79">
        <v>0.55</v>
      </c>
      <c r="I10" s="79">
        <v>0.65</v>
      </c>
    </row>
    <row r="11" spans="1:9" ht="15">
      <c r="A11" s="76" t="s">
        <v>138</v>
      </c>
      <c r="B11" s="79" t="s">
        <v>143</v>
      </c>
      <c r="D11" s="79">
        <v>116</v>
      </c>
      <c r="E11" s="79">
        <v>57</v>
      </c>
      <c r="F11" s="79">
        <v>1</v>
      </c>
      <c r="G11" s="79">
        <v>57</v>
      </c>
      <c r="H11" s="79">
        <v>0.55</v>
      </c>
      <c r="I11" s="79">
        <v>0.65</v>
      </c>
    </row>
    <row r="12" spans="1:9" ht="15">
      <c r="A12" s="76" t="s">
        <v>139</v>
      </c>
      <c r="B12" s="79" t="s">
        <v>149</v>
      </c>
      <c r="D12" s="79">
        <v>240</v>
      </c>
      <c r="E12" s="79">
        <v>122</v>
      </c>
      <c r="F12" s="79">
        <v>2.8</v>
      </c>
      <c r="G12" s="79">
        <v>113</v>
      </c>
      <c r="H12" s="79">
        <v>1</v>
      </c>
      <c r="I12" s="79">
        <v>1.6</v>
      </c>
    </row>
    <row r="13" spans="1:9" ht="15">
      <c r="A13" s="76" t="s">
        <v>139</v>
      </c>
      <c r="B13" s="79" t="s">
        <v>143</v>
      </c>
      <c r="D13" s="79">
        <v>301</v>
      </c>
      <c r="E13" s="79">
        <v>183</v>
      </c>
      <c r="F13" s="79">
        <v>2.8</v>
      </c>
      <c r="G13" s="79">
        <v>113</v>
      </c>
      <c r="H13" s="79">
        <v>1</v>
      </c>
      <c r="I13" s="79">
        <v>1.6</v>
      </c>
    </row>
    <row r="14" spans="1:9" ht="15">
      <c r="A14" s="76" t="s">
        <v>140</v>
      </c>
      <c r="B14" s="81" t="s">
        <v>144</v>
      </c>
      <c r="D14" s="79">
        <v>184</v>
      </c>
      <c r="E14" s="79">
        <v>65</v>
      </c>
      <c r="F14" s="79">
        <v>2.9</v>
      </c>
      <c r="G14" s="79">
        <v>113</v>
      </c>
      <c r="H14" s="79">
        <v>1</v>
      </c>
      <c r="I14" s="79">
        <v>1.6</v>
      </c>
    </row>
    <row r="15" spans="1:9" ht="15">
      <c r="A15" s="76" t="s">
        <v>141</v>
      </c>
      <c r="B15" s="79" t="s">
        <v>149</v>
      </c>
      <c r="D15" s="79">
        <v>73.6</v>
      </c>
      <c r="E15" s="79">
        <v>55</v>
      </c>
      <c r="F15" s="79">
        <v>4</v>
      </c>
      <c r="G15" s="79">
        <v>12</v>
      </c>
      <c r="H15" s="79">
        <v>1</v>
      </c>
      <c r="I15" s="79">
        <v>1.6</v>
      </c>
    </row>
    <row r="16" spans="1:9" ht="15">
      <c r="A16" s="76" t="s">
        <v>141</v>
      </c>
      <c r="B16" s="79" t="s">
        <v>143</v>
      </c>
      <c r="D16" s="79">
        <v>78.6</v>
      </c>
      <c r="E16" s="79">
        <v>60</v>
      </c>
      <c r="F16" s="79">
        <v>4</v>
      </c>
      <c r="G16" s="79">
        <v>12</v>
      </c>
      <c r="H16" s="79">
        <v>1</v>
      </c>
      <c r="I16" s="79">
        <v>1.6</v>
      </c>
    </row>
    <row r="17" spans="1:9" ht="15">
      <c r="A17" s="76" t="s">
        <v>142</v>
      </c>
      <c r="B17" s="79" t="s">
        <v>143</v>
      </c>
      <c r="D17" s="79">
        <v>215</v>
      </c>
      <c r="E17" s="79">
        <v>164</v>
      </c>
      <c r="F17" s="79">
        <v>4</v>
      </c>
      <c r="G17" s="79">
        <v>44.7</v>
      </c>
      <c r="H17" s="79">
        <v>1</v>
      </c>
      <c r="I17" s="79">
        <v>1.6</v>
      </c>
    </row>
    <row r="18" spans="2:8" ht="15">
      <c r="B18" s="79"/>
      <c r="C18" s="79"/>
      <c r="D18" s="79"/>
      <c r="E18" s="79"/>
      <c r="F18" s="79"/>
      <c r="G18" s="79"/>
      <c r="H18" s="79"/>
    </row>
    <row r="19" spans="2:8" ht="15">
      <c r="B19" s="79"/>
      <c r="C19" s="79"/>
      <c r="D19" s="79"/>
      <c r="E19" s="79"/>
      <c r="F19" s="79"/>
      <c r="G19" s="79"/>
      <c r="H19" s="79"/>
    </row>
    <row r="20" spans="1:8" s="99" customFormat="1" ht="15">
      <c r="A20" s="197" t="s">
        <v>390</v>
      </c>
      <c r="B20" s="97"/>
      <c r="C20" s="97"/>
      <c r="D20" s="97"/>
      <c r="E20" s="97"/>
      <c r="F20" s="97"/>
      <c r="G20" s="97"/>
      <c r="H20" s="97"/>
    </row>
    <row r="22" spans="2:7" ht="15">
      <c r="B22" s="82" t="str">
        <f>'[1]Default Factors'!F5</f>
        <v>Total</v>
      </c>
      <c r="C22" s="82"/>
      <c r="D22" s="82"/>
      <c r="E22" s="82"/>
      <c r="F22" s="82"/>
      <c r="G22" s="82"/>
    </row>
    <row r="23" spans="2:7" ht="15">
      <c r="B23" s="82" t="str">
        <f>'[1]Default Factors'!F6</f>
        <v>VOCs</v>
      </c>
      <c r="C23" s="82" t="str">
        <f>'[1]Default Factors'!G6</f>
        <v>Methanol</v>
      </c>
      <c r="D23" s="82" t="str">
        <f>'[1]Default Factors'!H6</f>
        <v>Formaldehyde</v>
      </c>
      <c r="E23" s="82" t="str">
        <f>'[1]Default Factors'!I6</f>
        <v>Acetaldehyde</v>
      </c>
      <c r="F23" s="82" t="str">
        <f>'[1]Default Factors'!J6</f>
        <v>Propionaldehyde</v>
      </c>
      <c r="G23" s="82" t="str">
        <f>'[1]Default Factors'!K6</f>
        <v>Acrolein</v>
      </c>
    </row>
    <row r="24" spans="2:7" ht="18">
      <c r="B24" s="80" t="s">
        <v>346</v>
      </c>
      <c r="C24" s="80" t="s">
        <v>345</v>
      </c>
      <c r="D24" s="80" t="s">
        <v>345</v>
      </c>
      <c r="E24" s="80" t="s">
        <v>345</v>
      </c>
      <c r="F24" s="80" t="s">
        <v>345</v>
      </c>
      <c r="G24" s="80" t="s">
        <v>345</v>
      </c>
    </row>
    <row r="25" spans="1:7" ht="15">
      <c r="A25" s="76" t="s">
        <v>14</v>
      </c>
      <c r="B25" s="88">
        <f>'Default Factors'!F8*100</f>
        <v>30122.333996327183</v>
      </c>
      <c r="C25" s="88">
        <f>'Default Factors'!G8*100</f>
        <v>5240.000000000004</v>
      </c>
      <c r="D25" s="88">
        <f>'Default Factors'!H8*100</f>
        <v>71.99999999999989</v>
      </c>
      <c r="E25" s="88">
        <f>'Default Factors'!I8*100</f>
        <v>11279.999999999998</v>
      </c>
      <c r="F25" s="88">
        <f>'Default Factors'!J8*100</f>
        <v>120.00000000000001</v>
      </c>
      <c r="G25" s="88">
        <f>'Default Factors'!K8*100</f>
        <v>175</v>
      </c>
    </row>
    <row r="26" spans="1:7" ht="15">
      <c r="A26" s="76" t="s">
        <v>138</v>
      </c>
      <c r="B26" s="88">
        <f>100*'Default Factors'!F12</f>
        <v>65061.80703938391</v>
      </c>
      <c r="C26" s="88">
        <f>100*'Default Factors'!G12</f>
        <v>3839.9999999999977</v>
      </c>
      <c r="D26" s="88">
        <f>100*'Default Factors'!H12</f>
        <v>131.4</v>
      </c>
      <c r="E26" s="88">
        <f>100*'Default Factors'!I12</f>
        <v>4862.499999999999</v>
      </c>
      <c r="F26" s="88">
        <f>100*'Default Factors'!J12</f>
        <v>51.24999999999999</v>
      </c>
      <c r="G26" s="88">
        <f>100*'Default Factors'!K12</f>
        <v>85</v>
      </c>
    </row>
    <row r="27" spans="1:7" ht="15">
      <c r="A27" s="76" t="s">
        <v>139</v>
      </c>
      <c r="B27" s="88">
        <f>100*'Default Factors'!F16</f>
        <v>57694.943845663234</v>
      </c>
      <c r="C27" s="88">
        <f>100*'Default Factors'!G16</f>
        <v>12179.999999999996</v>
      </c>
      <c r="D27" s="88">
        <f>100*'Default Factors'!H16</f>
        <v>271.9999999999999</v>
      </c>
      <c r="E27" s="88">
        <f>100*'Default Factors'!I16</f>
        <v>11279.999999999998</v>
      </c>
      <c r="F27" s="88">
        <f>100*'Default Factors'!J16</f>
        <v>120.00000000000001</v>
      </c>
      <c r="G27" s="88">
        <f>100*'Default Factors'!K16</f>
        <v>175</v>
      </c>
    </row>
    <row r="28" spans="1:7" ht="15">
      <c r="A28" s="141" t="s">
        <v>5</v>
      </c>
      <c r="B28" s="114">
        <f>100*'Default Factors'!F20</f>
        <v>47272.65293290751</v>
      </c>
      <c r="C28" s="114">
        <f>100*'Default Factors'!G28</f>
        <v>12379.999999999996</v>
      </c>
      <c r="D28" s="114">
        <f>100*'Default Factors'!H28</f>
        <v>86.20000000000002</v>
      </c>
      <c r="E28" s="114">
        <f>100*'Default Factors'!I28</f>
        <v>12150</v>
      </c>
      <c r="F28" s="114">
        <f>100*'Default Factors'!J28</f>
        <v>150</v>
      </c>
      <c r="G28" s="114">
        <f>100*'Default Factors'!K28</f>
        <v>145</v>
      </c>
    </row>
    <row r="29" spans="1:7" ht="15">
      <c r="A29" s="141"/>
      <c r="B29" s="114"/>
      <c r="C29" s="114"/>
      <c r="D29" s="114"/>
      <c r="E29" s="114"/>
      <c r="F29" s="114"/>
      <c r="G29" s="114"/>
    </row>
    <row r="30" spans="8:12" ht="15">
      <c r="H30" s="196"/>
      <c r="I30" s="196"/>
      <c r="J30" s="196"/>
      <c r="K30" s="196"/>
      <c r="L30" s="196"/>
    </row>
    <row r="31" ht="15">
      <c r="A31" s="197" t="s">
        <v>391</v>
      </c>
    </row>
    <row r="32" ht="15">
      <c r="A32" s="197"/>
    </row>
    <row r="33" spans="2:7" ht="15">
      <c r="B33" s="82" t="str">
        <f>B22</f>
        <v>Total</v>
      </c>
      <c r="C33" s="82"/>
      <c r="D33" s="82"/>
      <c r="E33" s="82"/>
      <c r="F33" s="82"/>
      <c r="G33" s="82"/>
    </row>
    <row r="34" spans="2:7" ht="15">
      <c r="B34" s="82" t="str">
        <f>B23</f>
        <v>VOCs</v>
      </c>
      <c r="C34" s="82" t="str">
        <f>C23</f>
        <v>Methanol</v>
      </c>
      <c r="D34" s="82" t="str">
        <f>D23</f>
        <v>Formaldehyde</v>
      </c>
      <c r="E34" s="82" t="str">
        <f>E23</f>
        <v>Acetaldehyde</v>
      </c>
      <c r="F34" s="82" t="str">
        <f>F23</f>
        <v>Propionaldehyde</v>
      </c>
      <c r="G34" s="82" t="str">
        <f>G23</f>
        <v>Acrolein</v>
      </c>
    </row>
    <row r="35" spans="2:7" ht="15">
      <c r="B35" s="80" t="s">
        <v>345</v>
      </c>
      <c r="C35" s="80" t="s">
        <v>345</v>
      </c>
      <c r="D35" s="80" t="s">
        <v>345</v>
      </c>
      <c r="E35" s="80" t="s">
        <v>345</v>
      </c>
      <c r="F35" s="80" t="s">
        <v>345</v>
      </c>
      <c r="G35" s="80" t="s">
        <v>345</v>
      </c>
    </row>
    <row r="36" spans="1:7" ht="15">
      <c r="A36" s="76" t="s">
        <v>14</v>
      </c>
      <c r="B36" s="88">
        <f>'Default Factors'!F10*100</f>
        <v>46305.79346261932</v>
      </c>
      <c r="C36" s="88">
        <f>'Default Factors'!G10*100</f>
        <v>17975</v>
      </c>
      <c r="D36" s="88">
        <f>'Default Factors'!H10*100</f>
        <v>359.99999999999994</v>
      </c>
      <c r="E36" s="88">
        <f>'Default Factors'!I10*100</f>
        <v>11279.999999999998</v>
      </c>
      <c r="F36" s="88">
        <f>'Default Factors'!J10*100</f>
        <v>120.00000000000001</v>
      </c>
      <c r="G36" s="88">
        <f>'Default Factors'!K10*100</f>
        <v>175</v>
      </c>
    </row>
    <row r="37" spans="1:7" ht="15">
      <c r="A37" s="76" t="s">
        <v>138</v>
      </c>
      <c r="B37" s="88">
        <f>100*'Default Factors'!F14</f>
        <v>147488.24683637064</v>
      </c>
      <c r="C37" s="88">
        <f>100*'Default Factors'!G14</f>
        <v>10725</v>
      </c>
      <c r="D37" s="88">
        <f>100*'Default Factors'!H14</f>
        <v>366.75000000000006</v>
      </c>
      <c r="E37" s="88">
        <f>100*'Default Factors'!I14</f>
        <v>4862.499999999999</v>
      </c>
      <c r="F37" s="88">
        <f>100*'Default Factors'!J14</f>
        <v>51.24999999999999</v>
      </c>
      <c r="G37" s="88">
        <f>100*'Default Factors'!K14</f>
        <v>85</v>
      </c>
    </row>
    <row r="38" spans="1:7" ht="15">
      <c r="A38" s="141" t="s">
        <v>139</v>
      </c>
      <c r="B38" s="114">
        <f>100*'Default Factors'!F18</f>
        <v>73687.95841154679</v>
      </c>
      <c r="C38" s="114">
        <f>100*'Default Factors'!G18</f>
        <v>22100</v>
      </c>
      <c r="D38" s="114">
        <f>100*'Default Factors'!H18</f>
        <v>709.9999999999994</v>
      </c>
      <c r="E38" s="114">
        <f>100*'Default Factors'!I18</f>
        <v>11279.999999999998</v>
      </c>
      <c r="F38" s="114">
        <f>100*'Default Factors'!J18</f>
        <v>120.00000000000001</v>
      </c>
      <c r="G38" s="114">
        <f>100*'Default Factors'!K18</f>
        <v>175</v>
      </c>
    </row>
    <row r="39" spans="1:7" ht="15">
      <c r="A39" s="141" t="s">
        <v>5</v>
      </c>
      <c r="B39" s="114">
        <f>100*'Default Factors'!F22</f>
        <v>71656.47886753468</v>
      </c>
      <c r="C39" s="114">
        <f>100*'Default Factors'!G30</f>
        <v>23000</v>
      </c>
      <c r="D39" s="114">
        <f>100*'Default Factors'!H30</f>
        <v>228.0000000000001</v>
      </c>
      <c r="E39" s="114">
        <f>100*'Default Factors'!I30</f>
        <v>12150</v>
      </c>
      <c r="F39" s="114">
        <f>100*'Default Factors'!J30</f>
        <v>150</v>
      </c>
      <c r="G39" s="114">
        <f>100*'Default Factors'!K30</f>
        <v>145</v>
      </c>
    </row>
    <row r="40" spans="3:7" ht="15">
      <c r="C40" s="79"/>
      <c r="D40" s="79"/>
      <c r="E40" s="79"/>
      <c r="F40" s="79"/>
      <c r="G40" s="79"/>
    </row>
    <row r="41" spans="1:7" ht="15">
      <c r="A41" s="76" t="s">
        <v>388</v>
      </c>
      <c r="C41" s="79"/>
      <c r="D41" s="79"/>
      <c r="E41" s="79"/>
      <c r="F41" s="79"/>
      <c r="G41" s="79"/>
    </row>
    <row r="42" spans="1:7" ht="15">
      <c r="A42" s="76" t="s">
        <v>389</v>
      </c>
      <c r="C42" s="79"/>
      <c r="D42" s="79"/>
      <c r="E42" s="79"/>
      <c r="F42" s="79"/>
      <c r="G42" s="79"/>
    </row>
    <row r="43" spans="3:7" ht="15">
      <c r="C43" s="79"/>
      <c r="D43" s="79"/>
      <c r="E43" s="79"/>
      <c r="F43" s="79"/>
      <c r="G43" s="79"/>
    </row>
  </sheetData>
  <sheetProtection/>
  <printOptions/>
  <pageMargins left="0.7" right="0.7" top="1"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Gateway_User</dc:creator>
  <cp:keywords/>
  <dc:description/>
  <cp:lastModifiedBy>Clint Lamoreaux</cp:lastModifiedBy>
  <cp:lastPrinted>2010-05-04T17:23:03Z</cp:lastPrinted>
  <dcterms:created xsi:type="dcterms:W3CDTF">2006-03-08T18:11:20Z</dcterms:created>
  <dcterms:modified xsi:type="dcterms:W3CDTF">2013-04-12T17:21:24Z</dcterms:modified>
  <cp:category/>
  <cp:version/>
  <cp:contentType/>
  <cp:contentStatus/>
</cp:coreProperties>
</file>